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Portableapps\Documents\03_JES\11_brechnungen\"/>
    </mc:Choice>
  </mc:AlternateContent>
  <bookViews>
    <workbookView xWindow="3855" yWindow="0" windowWidth="29715" windowHeight="13230" activeTab="5"/>
  </bookViews>
  <sheets>
    <sheet name="an" sheetId="14" r:id="rId1"/>
    <sheet name="roh" sheetId="40" r:id="rId2"/>
    <sheet name="wf" sheetId="39" r:id="rId3"/>
    <sheet name="af" sheetId="41" r:id="rId4"/>
    <sheet name="waf" sheetId="44" r:id="rId5"/>
    <sheet name="Vb-R" sheetId="45" r:id="rId6"/>
    <sheet name="Grundtab" sheetId="43" r:id="rId7"/>
  </sheets>
  <calcPr calcId="162913"/>
</workbook>
</file>

<file path=xl/calcChain.xml><?xml version="1.0" encoding="utf-8"?>
<calcChain xmlns="http://schemas.openxmlformats.org/spreadsheetml/2006/main">
  <c r="C14" i="14" l="1"/>
  <c r="C15" i="14" s="1"/>
  <c r="I24" i="40" l="1"/>
  <c r="H24" i="40"/>
  <c r="J24" i="40"/>
  <c r="E122" i="43"/>
  <c r="F122" i="43"/>
  <c r="D121" i="43"/>
  <c r="D122" i="43"/>
  <c r="J1" i="45"/>
  <c r="J2" i="45"/>
  <c r="J4" i="45"/>
  <c r="J5" i="45"/>
  <c r="J6" i="45"/>
  <c r="J7" i="45"/>
  <c r="J8" i="45"/>
  <c r="J61" i="45"/>
  <c r="J62" i="45"/>
  <c r="I61" i="45"/>
  <c r="I62" i="45"/>
  <c r="I1" i="45"/>
  <c r="I2" i="45"/>
  <c r="I4" i="45"/>
  <c r="I5" i="45"/>
  <c r="I6" i="45"/>
  <c r="I7" i="45"/>
  <c r="I8" i="45"/>
  <c r="I23" i="14"/>
  <c r="I21" i="14"/>
  <c r="I24" i="14" s="1"/>
  <c r="F132" i="43"/>
  <c r="E132" i="43"/>
  <c r="C132" i="43"/>
  <c r="F131" i="43"/>
  <c r="E131" i="43"/>
  <c r="F130" i="43"/>
  <c r="E130" i="43"/>
  <c r="F129" i="43"/>
  <c r="F128" i="43"/>
  <c r="E128" i="43"/>
  <c r="E129" i="43"/>
  <c r="F126" i="43"/>
  <c r="F127" i="43"/>
  <c r="E127" i="43"/>
  <c r="E126" i="43"/>
  <c r="F125" i="43"/>
  <c r="E125" i="43"/>
  <c r="D126" i="43"/>
  <c r="D127" i="43"/>
  <c r="D128" i="43"/>
  <c r="D129" i="43"/>
  <c r="D130" i="43"/>
  <c r="D131" i="43"/>
  <c r="D132" i="43"/>
  <c r="D125" i="43"/>
  <c r="C131" i="43"/>
  <c r="B58" i="43"/>
  <c r="B57" i="43"/>
  <c r="C130" i="43"/>
  <c r="C129" i="43"/>
  <c r="C128" i="43"/>
  <c r="C127" i="43"/>
  <c r="C125" i="43"/>
  <c r="C126" i="43"/>
  <c r="E120" i="43"/>
  <c r="F120" i="43"/>
  <c r="F121" i="43"/>
  <c r="E121" i="43"/>
  <c r="B124" i="43"/>
  <c r="I19" i="14"/>
  <c r="D120" i="43"/>
  <c r="H1" i="45"/>
  <c r="H2" i="45"/>
  <c r="H4" i="45"/>
  <c r="H5" i="45"/>
  <c r="H6" i="45"/>
  <c r="H7" i="45"/>
  <c r="H8" i="45"/>
  <c r="H61" i="45"/>
  <c r="H62" i="45"/>
  <c r="H25" i="14" l="1"/>
  <c r="H27" i="14"/>
  <c r="H24" i="14"/>
  <c r="H21" i="14"/>
  <c r="H20" i="14"/>
  <c r="H19" i="14"/>
  <c r="H15" i="14"/>
  <c r="G54" i="14" l="1"/>
  <c r="G53" i="14"/>
  <c r="G52" i="14"/>
  <c r="G51" i="14"/>
  <c r="G50" i="14"/>
  <c r="G49" i="14"/>
  <c r="G48" i="14"/>
  <c r="G47" i="14"/>
  <c r="G46" i="14"/>
  <c r="G27" i="14"/>
  <c r="G25" i="14"/>
  <c r="G24" i="14"/>
  <c r="G21" i="14"/>
  <c r="G20" i="14"/>
  <c r="G19" i="14"/>
  <c r="G15" i="14"/>
  <c r="B2" i="43"/>
  <c r="B1" i="43"/>
  <c r="C40" i="43" l="1"/>
  <c r="D44" i="43"/>
  <c r="C31" i="43"/>
  <c r="D2" i="43" l="1"/>
  <c r="D1" i="43"/>
  <c r="D4" i="43" l="1"/>
  <c r="D5" i="43"/>
  <c r="B80" i="43" l="1"/>
  <c r="B82" i="43"/>
  <c r="B81" i="43"/>
  <c r="B79" i="43"/>
  <c r="B78" i="43"/>
  <c r="B77" i="43"/>
  <c r="B76" i="43"/>
  <c r="B75" i="43"/>
  <c r="B9" i="43"/>
  <c r="G1" i="45" l="1"/>
  <c r="G2" i="45"/>
  <c r="G4" i="45"/>
  <c r="G5" i="45"/>
  <c r="G6" i="45"/>
  <c r="G7" i="45"/>
  <c r="G8" i="45"/>
  <c r="F14" i="14"/>
  <c r="F15" i="14" s="1"/>
  <c r="F46" i="14"/>
  <c r="F47" i="14"/>
  <c r="F48" i="14"/>
  <c r="F49" i="14"/>
  <c r="F50" i="14"/>
  <c r="F51" i="14"/>
  <c r="F52" i="14"/>
  <c r="F53" i="14"/>
  <c r="F54" i="14"/>
  <c r="F1" i="45"/>
  <c r="F2" i="45"/>
  <c r="F4" i="45"/>
  <c r="F6" i="45"/>
  <c r="F7" i="45"/>
  <c r="F8" i="45"/>
  <c r="E61" i="45" l="1"/>
  <c r="E62" i="45"/>
  <c r="D1" i="45"/>
  <c r="E1" i="45"/>
  <c r="D2" i="45"/>
  <c r="E2" i="45"/>
  <c r="D4" i="45"/>
  <c r="E4" i="45"/>
  <c r="D6" i="45"/>
  <c r="E6" i="45"/>
  <c r="D7" i="45"/>
  <c r="E7" i="45"/>
  <c r="D8" i="45"/>
  <c r="E8" i="45"/>
  <c r="D4" i="39"/>
  <c r="D14" i="14"/>
  <c r="D15" i="14" s="1"/>
  <c r="D12" i="40" s="1"/>
  <c r="D5" i="39"/>
  <c r="D8" i="39"/>
  <c r="D7" i="39"/>
  <c r="D9" i="39"/>
  <c r="D10" i="39"/>
  <c r="E14" i="14"/>
  <c r="E15" i="14"/>
  <c r="E12" i="40"/>
  <c r="E4" i="39"/>
  <c r="E13" i="40"/>
  <c r="E5" i="39"/>
  <c r="E6" i="39" s="1"/>
  <c r="E8" i="39"/>
  <c r="E17" i="40"/>
  <c r="E7" i="39"/>
  <c r="E9" i="39"/>
  <c r="E10" i="39"/>
  <c r="E16" i="40"/>
  <c r="E18" i="40"/>
  <c r="E46" i="14"/>
  <c r="E34" i="40" s="1"/>
  <c r="E62" i="40" s="1"/>
  <c r="E47" i="14"/>
  <c r="E35" i="40" s="1"/>
  <c r="E63" i="40" s="1"/>
  <c r="E48" i="14"/>
  <c r="E49" i="14"/>
  <c r="E50" i="14"/>
  <c r="E51" i="14"/>
  <c r="E39" i="40" s="1"/>
  <c r="E67" i="40" s="1"/>
  <c r="E52" i="14"/>
  <c r="E53" i="14"/>
  <c r="E41" i="40" s="1"/>
  <c r="E54" i="14"/>
  <c r="E42" i="40" s="1"/>
  <c r="E70" i="40" s="1"/>
  <c r="D46" i="14"/>
  <c r="D34" i="40" s="1"/>
  <c r="D47" i="14"/>
  <c r="D48" i="14"/>
  <c r="D36" i="40" s="1"/>
  <c r="D49" i="14"/>
  <c r="D37" i="40" s="1"/>
  <c r="D50" i="14"/>
  <c r="D38" i="40" s="1"/>
  <c r="D51" i="14"/>
  <c r="D52" i="14"/>
  <c r="D53" i="14"/>
  <c r="D41" i="40" s="1"/>
  <c r="D54" i="14"/>
  <c r="D42" i="40" s="1"/>
  <c r="E22" i="43"/>
  <c r="E23" i="43"/>
  <c r="C13" i="39"/>
  <c r="B42" i="43"/>
  <c r="C5" i="39"/>
  <c r="C6" i="39" s="1"/>
  <c r="C4" i="39"/>
  <c r="C7" i="39"/>
  <c r="C8" i="39"/>
  <c r="C9" i="39"/>
  <c r="C10" i="39"/>
  <c r="C12" i="40"/>
  <c r="C16" i="40" s="1"/>
  <c r="B52" i="43"/>
  <c r="B43" i="43"/>
  <c r="B44" i="43"/>
  <c r="D28" i="43"/>
  <c r="B10" i="43"/>
  <c r="D22" i="43" s="1"/>
  <c r="D29" i="43"/>
  <c r="E28" i="43"/>
  <c r="B11" i="43"/>
  <c r="B22" i="43"/>
  <c r="B23" i="43"/>
  <c r="B24" i="43"/>
  <c r="B27" i="43"/>
  <c r="B39" i="43"/>
  <c r="B38" i="43"/>
  <c r="C2" i="39"/>
  <c r="C3" i="39"/>
  <c r="E24" i="43"/>
  <c r="E29" i="43"/>
  <c r="D2" i="39"/>
  <c r="D2" i="44"/>
  <c r="E2" i="39"/>
  <c r="E2" i="44"/>
  <c r="F2" i="39"/>
  <c r="F10" i="39"/>
  <c r="F19" i="40" s="1"/>
  <c r="G2" i="39"/>
  <c r="G10" i="39"/>
  <c r="H2" i="39"/>
  <c r="H10" i="39"/>
  <c r="I2" i="39"/>
  <c r="I10" i="39"/>
  <c r="J2" i="39"/>
  <c r="J2" i="44" s="1"/>
  <c r="J10" i="39"/>
  <c r="K2" i="39"/>
  <c r="K10" i="39"/>
  <c r="K2" i="44"/>
  <c r="L2" i="39"/>
  <c r="L10" i="39"/>
  <c r="L2" i="44"/>
  <c r="M2" i="39"/>
  <c r="M10" i="39"/>
  <c r="M2" i="44"/>
  <c r="N2" i="39"/>
  <c r="N10" i="39"/>
  <c r="N2" i="44"/>
  <c r="O2" i="39"/>
  <c r="O10" i="39"/>
  <c r="O2" i="44"/>
  <c r="P2" i="39"/>
  <c r="P10" i="39"/>
  <c r="P2" i="44"/>
  <c r="Q2" i="39"/>
  <c r="Q10" i="39"/>
  <c r="Q2" i="44"/>
  <c r="R2" i="39"/>
  <c r="R10" i="39"/>
  <c r="R2" i="44"/>
  <c r="S2" i="39"/>
  <c r="S10" i="39"/>
  <c r="S2" i="44"/>
  <c r="T2" i="39"/>
  <c r="T10" i="39"/>
  <c r="T2" i="44"/>
  <c r="U2" i="39"/>
  <c r="U10" i="39"/>
  <c r="U2" i="44"/>
  <c r="V2" i="39"/>
  <c r="V10" i="39"/>
  <c r="V2" i="44"/>
  <c r="W2" i="39"/>
  <c r="W10" i="39"/>
  <c r="W2" i="44"/>
  <c r="X2" i="39"/>
  <c r="X10" i="39"/>
  <c r="X2" i="44"/>
  <c r="Y2" i="39"/>
  <c r="Y10" i="39"/>
  <c r="Y2" i="44"/>
  <c r="Z2" i="39"/>
  <c r="Z10" i="39"/>
  <c r="Z2" i="44"/>
  <c r="D3" i="39"/>
  <c r="D3" i="44"/>
  <c r="E3" i="39"/>
  <c r="E3" i="44"/>
  <c r="F3" i="39"/>
  <c r="G3" i="39"/>
  <c r="G3" i="44" s="1"/>
  <c r="H3" i="39"/>
  <c r="I3" i="39"/>
  <c r="J3" i="39"/>
  <c r="J3" i="44" s="1"/>
  <c r="K3" i="39"/>
  <c r="K3" i="44"/>
  <c r="L3" i="39"/>
  <c r="L3" i="44"/>
  <c r="M3" i="39"/>
  <c r="M3" i="44"/>
  <c r="N3" i="39"/>
  <c r="N3" i="44"/>
  <c r="O3" i="39"/>
  <c r="O3" i="44"/>
  <c r="P3" i="39"/>
  <c r="P3" i="44"/>
  <c r="Q3" i="39"/>
  <c r="Q3" i="44"/>
  <c r="R3" i="39"/>
  <c r="R3" i="44"/>
  <c r="S3" i="39"/>
  <c r="S3" i="44"/>
  <c r="T3" i="39"/>
  <c r="T3" i="44"/>
  <c r="U3" i="39"/>
  <c r="U3" i="44"/>
  <c r="V3" i="39"/>
  <c r="V3" i="44"/>
  <c r="W3" i="39"/>
  <c r="W3" i="44"/>
  <c r="X3" i="39"/>
  <c r="X3" i="44"/>
  <c r="Y3" i="39"/>
  <c r="Y3" i="44"/>
  <c r="Z3" i="39"/>
  <c r="Z3" i="44"/>
  <c r="D4" i="44"/>
  <c r="E4" i="44"/>
  <c r="F4" i="39"/>
  <c r="F4" i="44" s="1"/>
  <c r="G4" i="39"/>
  <c r="G4" i="44" s="1"/>
  <c r="H4" i="39"/>
  <c r="I4" i="39"/>
  <c r="J4" i="39"/>
  <c r="J4" i="44" s="1"/>
  <c r="K4" i="39"/>
  <c r="K4" i="44"/>
  <c r="L4" i="39"/>
  <c r="L4" i="44"/>
  <c r="M4" i="39"/>
  <c r="M4" i="44"/>
  <c r="N4" i="39"/>
  <c r="N4" i="44"/>
  <c r="O4" i="39"/>
  <c r="O4" i="44"/>
  <c r="P4" i="39"/>
  <c r="P4" i="44"/>
  <c r="Q4" i="39"/>
  <c r="Q4" i="44"/>
  <c r="R4" i="39"/>
  <c r="R4" i="44"/>
  <c r="S4" i="39"/>
  <c r="S4" i="44"/>
  <c r="T4" i="39"/>
  <c r="T4" i="44"/>
  <c r="U4" i="39"/>
  <c r="U4" i="44"/>
  <c r="V4" i="39"/>
  <c r="V4" i="44"/>
  <c r="W4" i="39"/>
  <c r="W4" i="44"/>
  <c r="X4" i="39"/>
  <c r="X4" i="44"/>
  <c r="Y4" i="39"/>
  <c r="Y4" i="44"/>
  <c r="Z4" i="39"/>
  <c r="Z4" i="44"/>
  <c r="D7" i="44"/>
  <c r="D8" i="44"/>
  <c r="D9" i="44"/>
  <c r="F5" i="39"/>
  <c r="F5" i="44" s="1"/>
  <c r="F7" i="39"/>
  <c r="F8" i="39"/>
  <c r="F9" i="39"/>
  <c r="F7" i="44"/>
  <c r="G5" i="39"/>
  <c r="G5" i="44" s="1"/>
  <c r="H5" i="39"/>
  <c r="H7" i="39"/>
  <c r="H8" i="39"/>
  <c r="H9" i="39"/>
  <c r="I5" i="39"/>
  <c r="J5" i="39"/>
  <c r="J5" i="44" s="1"/>
  <c r="J7" i="39"/>
  <c r="J7" i="44" s="1"/>
  <c r="J8" i="39"/>
  <c r="J8" i="44" s="1"/>
  <c r="J9" i="39"/>
  <c r="J18" i="40" s="1"/>
  <c r="K5" i="39"/>
  <c r="L5" i="39"/>
  <c r="L5" i="44" s="1"/>
  <c r="L7" i="39"/>
  <c r="L8" i="39"/>
  <c r="L9" i="39"/>
  <c r="L7" i="44"/>
  <c r="L8" i="44"/>
  <c r="L9" i="44"/>
  <c r="M5" i="39"/>
  <c r="M5" i="44" s="1"/>
  <c r="N5" i="39"/>
  <c r="N5" i="44" s="1"/>
  <c r="N7" i="39"/>
  <c r="N8" i="39"/>
  <c r="N9" i="39"/>
  <c r="N7" i="44"/>
  <c r="N8" i="44"/>
  <c r="N9" i="44"/>
  <c r="O5" i="39"/>
  <c r="O5" i="44" s="1"/>
  <c r="P5" i="39"/>
  <c r="P5" i="44" s="1"/>
  <c r="P7" i="39"/>
  <c r="P8" i="39"/>
  <c r="P9" i="39"/>
  <c r="P7" i="44"/>
  <c r="P8" i="44"/>
  <c r="P9" i="44"/>
  <c r="Q5" i="39"/>
  <c r="Q5" i="44" s="1"/>
  <c r="R5" i="39"/>
  <c r="R5" i="44" s="1"/>
  <c r="R7" i="39"/>
  <c r="R8" i="39"/>
  <c r="R9" i="39"/>
  <c r="R7" i="44"/>
  <c r="R8" i="44"/>
  <c r="R9" i="44"/>
  <c r="S5" i="39"/>
  <c r="S5" i="44" s="1"/>
  <c r="T5" i="39"/>
  <c r="T5" i="44" s="1"/>
  <c r="T7" i="39"/>
  <c r="T8" i="39"/>
  <c r="T9" i="39"/>
  <c r="T7" i="44"/>
  <c r="T8" i="44"/>
  <c r="T9" i="44"/>
  <c r="U5" i="39"/>
  <c r="U5" i="44" s="1"/>
  <c r="V5" i="39"/>
  <c r="V14" i="40" s="1"/>
  <c r="V6" i="41" s="1"/>
  <c r="V7" i="39"/>
  <c r="V8" i="39"/>
  <c r="V9" i="39"/>
  <c r="V7" i="44"/>
  <c r="V8" i="44"/>
  <c r="V9" i="44"/>
  <c r="W5" i="39"/>
  <c r="W5" i="44" s="1"/>
  <c r="X5" i="39"/>
  <c r="X5" i="44" s="1"/>
  <c r="X7" i="39"/>
  <c r="X8" i="39"/>
  <c r="X9" i="39"/>
  <c r="X7" i="44"/>
  <c r="X8" i="44"/>
  <c r="X9" i="44"/>
  <c r="Y5" i="39"/>
  <c r="Y5" i="44" s="1"/>
  <c r="Z5" i="39"/>
  <c r="Z5" i="44" s="1"/>
  <c r="Z7" i="39"/>
  <c r="Z8" i="39"/>
  <c r="Z9" i="39"/>
  <c r="Z7" i="44"/>
  <c r="Z8" i="44"/>
  <c r="Z9" i="44"/>
  <c r="G7" i="39"/>
  <c r="G8" i="39"/>
  <c r="G8" i="44" s="1"/>
  <c r="G9" i="39"/>
  <c r="I7" i="39"/>
  <c r="I8" i="39"/>
  <c r="I8" i="44" s="1"/>
  <c r="I9" i="39"/>
  <c r="I9" i="44" s="1"/>
  <c r="K7" i="39"/>
  <c r="K8" i="39"/>
  <c r="K9" i="39"/>
  <c r="M7" i="39"/>
  <c r="M8" i="39"/>
  <c r="M9" i="39"/>
  <c r="M6" i="39"/>
  <c r="M6" i="44" s="1"/>
  <c r="O7" i="39"/>
  <c r="O8" i="39"/>
  <c r="O9" i="39"/>
  <c r="O6" i="39"/>
  <c r="O6" i="44" s="1"/>
  <c r="Q7" i="39"/>
  <c r="Q8" i="39"/>
  <c r="Q9" i="39"/>
  <c r="S7" i="39"/>
  <c r="S8" i="39"/>
  <c r="S9" i="39"/>
  <c r="U7" i="39"/>
  <c r="U8" i="39"/>
  <c r="U9" i="39"/>
  <c r="W7" i="39"/>
  <c r="W8" i="39"/>
  <c r="W9" i="39"/>
  <c r="Y7" i="39"/>
  <c r="Y8" i="39"/>
  <c r="Y9" i="39"/>
  <c r="E7" i="44"/>
  <c r="K7" i="44"/>
  <c r="M7" i="44"/>
  <c r="O7" i="44"/>
  <c r="Q7" i="44"/>
  <c r="S7" i="44"/>
  <c r="U7" i="44"/>
  <c r="W7" i="44"/>
  <c r="Y7" i="44"/>
  <c r="E8" i="44"/>
  <c r="K8" i="44"/>
  <c r="K9" i="44"/>
  <c r="M8" i="44"/>
  <c r="O8" i="44"/>
  <c r="O9" i="44"/>
  <c r="Q8" i="44"/>
  <c r="S8" i="44"/>
  <c r="S9" i="44"/>
  <c r="U8" i="44"/>
  <c r="W8" i="44"/>
  <c r="W9" i="44"/>
  <c r="Y8" i="44"/>
  <c r="E9" i="44"/>
  <c r="M9" i="44"/>
  <c r="Q9" i="44"/>
  <c r="U9" i="44"/>
  <c r="Y9" i="44"/>
  <c r="D13" i="39"/>
  <c r="D12" i="44"/>
  <c r="E13" i="39"/>
  <c r="E12" i="44"/>
  <c r="F13" i="39"/>
  <c r="G13" i="39"/>
  <c r="G12" i="44" s="1"/>
  <c r="H13" i="39"/>
  <c r="I13" i="39"/>
  <c r="J13" i="39"/>
  <c r="J12" i="44" s="1"/>
  <c r="K13" i="39"/>
  <c r="K12" i="44"/>
  <c r="L13" i="39"/>
  <c r="L12" i="44"/>
  <c r="M13" i="39"/>
  <c r="M12" i="44"/>
  <c r="N13" i="39"/>
  <c r="N12" i="44"/>
  <c r="O13" i="39"/>
  <c r="O12" i="44"/>
  <c r="P13" i="39"/>
  <c r="P12" i="44"/>
  <c r="Q13" i="39"/>
  <c r="Q12" i="44"/>
  <c r="R13" i="39"/>
  <c r="R12" i="44"/>
  <c r="S13" i="39"/>
  <c r="S12" i="44"/>
  <c r="T13" i="39"/>
  <c r="T12" i="44"/>
  <c r="U13" i="39"/>
  <c r="U12" i="44"/>
  <c r="V13" i="39"/>
  <c r="V12" i="44"/>
  <c r="W13" i="39"/>
  <c r="W12" i="44"/>
  <c r="X13" i="39"/>
  <c r="X12" i="44"/>
  <c r="Y13" i="39"/>
  <c r="Y12" i="44"/>
  <c r="Z13" i="39"/>
  <c r="Z12" i="44"/>
  <c r="E10" i="40"/>
  <c r="E19" i="40"/>
  <c r="E2" i="41"/>
  <c r="F12" i="40"/>
  <c r="G12" i="40"/>
  <c r="H12" i="40"/>
  <c r="I12" i="40"/>
  <c r="J12" i="40"/>
  <c r="K12" i="40"/>
  <c r="K10" i="40"/>
  <c r="K19" i="40"/>
  <c r="K2" i="41"/>
  <c r="L12" i="40"/>
  <c r="L10" i="40"/>
  <c r="L19" i="40"/>
  <c r="L2" i="41"/>
  <c r="M12" i="40"/>
  <c r="M10" i="40"/>
  <c r="M19" i="40"/>
  <c r="M2" i="41"/>
  <c r="N12" i="40"/>
  <c r="N10" i="40"/>
  <c r="N19" i="40"/>
  <c r="N2" i="41"/>
  <c r="O12" i="40"/>
  <c r="O10" i="40"/>
  <c r="O19" i="40"/>
  <c r="O2" i="41"/>
  <c r="P12" i="40"/>
  <c r="P10" i="40"/>
  <c r="P19" i="40"/>
  <c r="P2" i="41"/>
  <c r="Q12" i="40"/>
  <c r="Q10" i="40"/>
  <c r="Q19" i="40"/>
  <c r="Q2" i="41"/>
  <c r="R12" i="40"/>
  <c r="R10" i="40"/>
  <c r="R19" i="40"/>
  <c r="R2" i="41"/>
  <c r="S12" i="40"/>
  <c r="S10" i="40"/>
  <c r="S19" i="40"/>
  <c r="S2" i="41"/>
  <c r="T12" i="40"/>
  <c r="T10" i="40"/>
  <c r="T19" i="40"/>
  <c r="T2" i="41"/>
  <c r="U12" i="40"/>
  <c r="U10" i="40"/>
  <c r="U19" i="40"/>
  <c r="U2" i="41"/>
  <c r="V12" i="40"/>
  <c r="V10" i="40"/>
  <c r="V19" i="40"/>
  <c r="V2" i="41"/>
  <c r="W12" i="40"/>
  <c r="W10" i="40"/>
  <c r="W19" i="40"/>
  <c r="W2" i="41"/>
  <c r="X12" i="40"/>
  <c r="X10" i="40"/>
  <c r="X19" i="40"/>
  <c r="X2" i="41"/>
  <c r="Y12" i="40"/>
  <c r="Y10" i="40"/>
  <c r="Y19" i="40"/>
  <c r="Y2" i="41"/>
  <c r="Z12" i="40"/>
  <c r="Z10" i="40"/>
  <c r="Z19" i="40"/>
  <c r="Z2" i="41"/>
  <c r="E11" i="40"/>
  <c r="E3" i="41"/>
  <c r="K11" i="40"/>
  <c r="K3" i="41"/>
  <c r="L11" i="40"/>
  <c r="L3" i="41"/>
  <c r="M11" i="40"/>
  <c r="M3" i="41"/>
  <c r="N11" i="40"/>
  <c r="N3" i="41"/>
  <c r="O11" i="40"/>
  <c r="O3" i="41"/>
  <c r="P11" i="40"/>
  <c r="P3" i="41"/>
  <c r="Q11" i="40"/>
  <c r="Q3" i="41"/>
  <c r="R11" i="40"/>
  <c r="R3" i="41"/>
  <c r="S11" i="40"/>
  <c r="S3" i="41"/>
  <c r="T11" i="40"/>
  <c r="T3" i="41"/>
  <c r="U11" i="40"/>
  <c r="U3" i="41"/>
  <c r="V11" i="40"/>
  <c r="V3" i="41"/>
  <c r="W11" i="40"/>
  <c r="W3" i="41"/>
  <c r="X11" i="40"/>
  <c r="X3" i="41"/>
  <c r="Y11" i="40"/>
  <c r="Y3" i="41"/>
  <c r="Z11" i="40"/>
  <c r="Z3" i="41"/>
  <c r="E4" i="41"/>
  <c r="E5" i="41"/>
  <c r="E8" i="41"/>
  <c r="E9" i="41"/>
  <c r="E10" i="41"/>
  <c r="K4" i="41"/>
  <c r="L4" i="41"/>
  <c r="M4" i="41"/>
  <c r="M13" i="40"/>
  <c r="M5" i="41"/>
  <c r="M16" i="40"/>
  <c r="M8" i="41"/>
  <c r="M17" i="40"/>
  <c r="M9" i="41"/>
  <c r="M18" i="40"/>
  <c r="M10" i="41"/>
  <c r="N4" i="41"/>
  <c r="O4" i="41"/>
  <c r="P4" i="41"/>
  <c r="Q4" i="41"/>
  <c r="Q13" i="40"/>
  <c r="Q5" i="41"/>
  <c r="Q16" i="40"/>
  <c r="Q8" i="41"/>
  <c r="Q17" i="40"/>
  <c r="Q9" i="41"/>
  <c r="Q18" i="40"/>
  <c r="Q10" i="41"/>
  <c r="R4" i="41"/>
  <c r="S4" i="41"/>
  <c r="T4" i="41"/>
  <c r="U4" i="41"/>
  <c r="U13" i="40"/>
  <c r="U5" i="41"/>
  <c r="U16" i="40"/>
  <c r="U8" i="41"/>
  <c r="U17" i="40"/>
  <c r="U9" i="41"/>
  <c r="U18" i="40"/>
  <c r="U10" i="41"/>
  <c r="V4" i="41"/>
  <c r="W4" i="41"/>
  <c r="X4" i="41"/>
  <c r="Y4" i="41"/>
  <c r="Y13" i="40"/>
  <c r="Y5" i="41"/>
  <c r="Y16" i="40"/>
  <c r="Y8" i="41"/>
  <c r="Y17" i="40"/>
  <c r="Y9" i="41"/>
  <c r="Y18" i="40"/>
  <c r="Y10" i="41"/>
  <c r="Z4" i="41"/>
  <c r="F16" i="40"/>
  <c r="K13" i="40"/>
  <c r="K5" i="41"/>
  <c r="L13" i="40"/>
  <c r="L5" i="41"/>
  <c r="N13" i="40"/>
  <c r="N5" i="41"/>
  <c r="N16" i="40"/>
  <c r="N8" i="41"/>
  <c r="N17" i="40"/>
  <c r="N9" i="41"/>
  <c r="N18" i="40"/>
  <c r="N10" i="41"/>
  <c r="O13" i="40"/>
  <c r="O5" i="41"/>
  <c r="P13" i="40"/>
  <c r="P5" i="41"/>
  <c r="R13" i="40"/>
  <c r="R5" i="41"/>
  <c r="R14" i="40"/>
  <c r="R6" i="41" s="1"/>
  <c r="R16" i="40"/>
  <c r="R8" i="41"/>
  <c r="R17" i="40"/>
  <c r="R9" i="41"/>
  <c r="R18" i="40"/>
  <c r="R10" i="41"/>
  <c r="S13" i="40"/>
  <c r="S5" i="41"/>
  <c r="T13" i="40"/>
  <c r="T5" i="41"/>
  <c r="V13" i="40"/>
  <c r="V5" i="41"/>
  <c r="V16" i="40"/>
  <c r="V8" i="41"/>
  <c r="V17" i="40"/>
  <c r="V9" i="41"/>
  <c r="V18" i="40"/>
  <c r="V10" i="41"/>
  <c r="W13" i="40"/>
  <c r="W5" i="41"/>
  <c r="X13" i="40"/>
  <c r="X5" i="41"/>
  <c r="Z13" i="40"/>
  <c r="Z5" i="41"/>
  <c r="Z16" i="40"/>
  <c r="Z8" i="41"/>
  <c r="Z17" i="40"/>
  <c r="Z9" i="41"/>
  <c r="Z18" i="40"/>
  <c r="Z10" i="41"/>
  <c r="K16" i="40"/>
  <c r="K8" i="41"/>
  <c r="K17" i="40"/>
  <c r="K9" i="41"/>
  <c r="K18" i="40"/>
  <c r="K10" i="41"/>
  <c r="O16" i="40"/>
  <c r="O8" i="41"/>
  <c r="O17" i="40"/>
  <c r="O9" i="41"/>
  <c r="O18" i="40"/>
  <c r="O10" i="41"/>
  <c r="P14" i="40"/>
  <c r="P6" i="41" s="1"/>
  <c r="S16" i="40"/>
  <c r="S8" i="41"/>
  <c r="S17" i="40"/>
  <c r="S9" i="41"/>
  <c r="S18" i="40"/>
  <c r="S10" i="41"/>
  <c r="W16" i="40"/>
  <c r="W8" i="41"/>
  <c r="W17" i="40"/>
  <c r="W9" i="41"/>
  <c r="W18" i="40"/>
  <c r="W10" i="41"/>
  <c r="L16" i="40"/>
  <c r="L8" i="41"/>
  <c r="P16" i="40"/>
  <c r="P8" i="41"/>
  <c r="T16" i="40"/>
  <c r="T8" i="41"/>
  <c r="X16" i="40"/>
  <c r="X8" i="41"/>
  <c r="L17" i="40"/>
  <c r="L9" i="41"/>
  <c r="P17" i="40"/>
  <c r="P9" i="41"/>
  <c r="T17" i="40"/>
  <c r="T9" i="41"/>
  <c r="X17" i="40"/>
  <c r="X9" i="41"/>
  <c r="L18" i="40"/>
  <c r="L10" i="41"/>
  <c r="P18" i="40"/>
  <c r="P10" i="41"/>
  <c r="T18" i="40"/>
  <c r="T10" i="41"/>
  <c r="X18" i="40"/>
  <c r="X10" i="41"/>
  <c r="E22" i="40"/>
  <c r="E13" i="41"/>
  <c r="F22" i="40"/>
  <c r="K22" i="40"/>
  <c r="K13" i="41"/>
  <c r="L22" i="40"/>
  <c r="L13" i="41"/>
  <c r="M22" i="40"/>
  <c r="M13" i="41"/>
  <c r="N22" i="40"/>
  <c r="N13" i="41"/>
  <c r="O22" i="40"/>
  <c r="O13" i="41"/>
  <c r="P22" i="40"/>
  <c r="P13" i="41"/>
  <c r="Q22" i="40"/>
  <c r="Q13" i="41"/>
  <c r="R22" i="40"/>
  <c r="R13" i="41"/>
  <c r="S22" i="40"/>
  <c r="S13" i="41"/>
  <c r="T22" i="40"/>
  <c r="T13" i="41"/>
  <c r="U22" i="40"/>
  <c r="U13" i="41"/>
  <c r="V22" i="40"/>
  <c r="V13" i="41"/>
  <c r="W22" i="40"/>
  <c r="W13" i="41"/>
  <c r="X22" i="40"/>
  <c r="X13" i="41"/>
  <c r="Y22" i="40"/>
  <c r="Y13" i="41"/>
  <c r="Z22" i="40"/>
  <c r="Z13" i="41"/>
  <c r="Y49" i="40"/>
  <c r="Y77" i="40"/>
  <c r="D1" i="40"/>
  <c r="E1" i="40"/>
  <c r="F1" i="40"/>
  <c r="G1" i="40"/>
  <c r="H1" i="40"/>
  <c r="I1" i="40"/>
  <c r="J1" i="40"/>
  <c r="K1" i="40"/>
  <c r="L1" i="40"/>
  <c r="M1" i="40"/>
  <c r="N1" i="40"/>
  <c r="O1" i="40"/>
  <c r="P1" i="40"/>
  <c r="Q1" i="40"/>
  <c r="R1" i="40"/>
  <c r="S1" i="40"/>
  <c r="T1" i="40"/>
  <c r="U1" i="40"/>
  <c r="V1" i="40"/>
  <c r="W1" i="40"/>
  <c r="X1" i="40"/>
  <c r="Y1" i="40"/>
  <c r="Z1" i="40"/>
  <c r="D2" i="40"/>
  <c r="E2" i="40"/>
  <c r="F2" i="40"/>
  <c r="G2" i="40"/>
  <c r="H2" i="40"/>
  <c r="I2" i="40"/>
  <c r="J2" i="40"/>
  <c r="K2" i="40"/>
  <c r="L2" i="40"/>
  <c r="M2" i="40"/>
  <c r="N2" i="40"/>
  <c r="O2" i="40"/>
  <c r="P2" i="40"/>
  <c r="Q2" i="40"/>
  <c r="R2" i="40"/>
  <c r="S2" i="40"/>
  <c r="T2" i="40"/>
  <c r="U2" i="40"/>
  <c r="V2" i="40"/>
  <c r="W2" i="40"/>
  <c r="X2" i="40"/>
  <c r="Y2" i="40"/>
  <c r="Z2" i="40"/>
  <c r="D4" i="40"/>
  <c r="E4" i="40"/>
  <c r="F4" i="40"/>
  <c r="G4" i="40"/>
  <c r="H4" i="40"/>
  <c r="I4" i="40"/>
  <c r="J4" i="40"/>
  <c r="K4" i="40"/>
  <c r="L4" i="40"/>
  <c r="M4" i="40"/>
  <c r="N4" i="40"/>
  <c r="O4" i="40"/>
  <c r="P4" i="40"/>
  <c r="Q4" i="40"/>
  <c r="R4" i="40"/>
  <c r="S4" i="40"/>
  <c r="T4" i="40"/>
  <c r="U4" i="40"/>
  <c r="V4" i="40"/>
  <c r="W4" i="40"/>
  <c r="X4" i="40"/>
  <c r="Y4" i="40"/>
  <c r="Z4" i="40"/>
  <c r="D5" i="40"/>
  <c r="E5" i="40"/>
  <c r="F5" i="40"/>
  <c r="G5" i="40"/>
  <c r="H5" i="40"/>
  <c r="I5" i="40"/>
  <c r="J5" i="40"/>
  <c r="K5" i="40"/>
  <c r="L5" i="40"/>
  <c r="M5" i="40"/>
  <c r="N5" i="40"/>
  <c r="O5" i="40"/>
  <c r="P5" i="40"/>
  <c r="Q5" i="40"/>
  <c r="R5" i="40"/>
  <c r="S5" i="40"/>
  <c r="T5" i="40"/>
  <c r="U5" i="40"/>
  <c r="V5" i="40"/>
  <c r="W5" i="40"/>
  <c r="X5" i="40"/>
  <c r="Y5" i="40"/>
  <c r="Z5" i="40"/>
  <c r="D6" i="40"/>
  <c r="E6" i="40"/>
  <c r="F6" i="40"/>
  <c r="G6" i="40"/>
  <c r="H6" i="40"/>
  <c r="I6" i="40"/>
  <c r="J6" i="40"/>
  <c r="K6" i="40"/>
  <c r="L6" i="40"/>
  <c r="M6" i="40"/>
  <c r="N6" i="40"/>
  <c r="O6" i="40"/>
  <c r="P6" i="40"/>
  <c r="Q6" i="40"/>
  <c r="R6" i="40"/>
  <c r="S6" i="40"/>
  <c r="T6" i="40"/>
  <c r="U6" i="40"/>
  <c r="V6" i="40"/>
  <c r="W6" i="40"/>
  <c r="X6" i="40"/>
  <c r="Y6" i="40"/>
  <c r="Z6" i="40"/>
  <c r="D7" i="40"/>
  <c r="E7" i="40"/>
  <c r="F7" i="40"/>
  <c r="G7" i="40"/>
  <c r="H7" i="40"/>
  <c r="I7" i="40"/>
  <c r="J7" i="40"/>
  <c r="K7" i="40"/>
  <c r="L7" i="40"/>
  <c r="M7" i="40"/>
  <c r="N7" i="40"/>
  <c r="O7" i="40"/>
  <c r="P7" i="40"/>
  <c r="Q7" i="40"/>
  <c r="R7" i="40"/>
  <c r="S7" i="40"/>
  <c r="T7" i="40"/>
  <c r="U7" i="40"/>
  <c r="V7" i="40"/>
  <c r="W7" i="40"/>
  <c r="X7" i="40"/>
  <c r="Y7" i="40"/>
  <c r="Z7" i="40"/>
  <c r="D8" i="40"/>
  <c r="E8" i="40"/>
  <c r="F8" i="40"/>
  <c r="G8" i="40"/>
  <c r="H8" i="40"/>
  <c r="I8" i="40"/>
  <c r="J8" i="40"/>
  <c r="K8" i="40"/>
  <c r="L8" i="40"/>
  <c r="M8" i="40"/>
  <c r="N8" i="40"/>
  <c r="O8" i="40"/>
  <c r="P8" i="40"/>
  <c r="Q8" i="40"/>
  <c r="R8" i="40"/>
  <c r="S8" i="40"/>
  <c r="T8" i="40"/>
  <c r="U8" i="40"/>
  <c r="V8" i="40"/>
  <c r="W8" i="40"/>
  <c r="X8" i="40"/>
  <c r="Y8" i="40"/>
  <c r="Z8" i="40"/>
  <c r="P37" i="40"/>
  <c r="P65" i="40"/>
  <c r="D25" i="40"/>
  <c r="E25" i="40"/>
  <c r="F25" i="40"/>
  <c r="G25" i="40"/>
  <c r="H25" i="40"/>
  <c r="I25" i="40"/>
  <c r="J25" i="40"/>
  <c r="K25" i="40"/>
  <c r="L25" i="40"/>
  <c r="M25" i="40"/>
  <c r="N25" i="40"/>
  <c r="O25" i="40"/>
  <c r="P25" i="40"/>
  <c r="Q25" i="40"/>
  <c r="R25" i="40"/>
  <c r="S25" i="40"/>
  <c r="T25" i="40"/>
  <c r="U25" i="40"/>
  <c r="V25" i="40"/>
  <c r="W25" i="40"/>
  <c r="X25" i="40"/>
  <c r="Y25" i="40"/>
  <c r="Z25" i="40"/>
  <c r="D26" i="40"/>
  <c r="E26" i="40"/>
  <c r="F26" i="40"/>
  <c r="G26" i="40"/>
  <c r="H26" i="40"/>
  <c r="I26" i="40"/>
  <c r="J26" i="40"/>
  <c r="K26" i="40"/>
  <c r="L26" i="40"/>
  <c r="M26" i="40"/>
  <c r="N26" i="40"/>
  <c r="O26" i="40"/>
  <c r="P26" i="40"/>
  <c r="Q26" i="40"/>
  <c r="R26" i="40"/>
  <c r="S26" i="40"/>
  <c r="T26" i="40"/>
  <c r="U26" i="40"/>
  <c r="V26" i="40"/>
  <c r="W26" i="40"/>
  <c r="X26" i="40"/>
  <c r="Y26" i="40"/>
  <c r="Z26" i="40"/>
  <c r="D27" i="40"/>
  <c r="E27" i="40"/>
  <c r="F27" i="40"/>
  <c r="G27" i="40"/>
  <c r="H27" i="40"/>
  <c r="I27" i="40"/>
  <c r="J27" i="40"/>
  <c r="K27" i="40"/>
  <c r="L27" i="40"/>
  <c r="M27" i="40"/>
  <c r="N27" i="40"/>
  <c r="O27" i="40"/>
  <c r="P27" i="40"/>
  <c r="Q27" i="40"/>
  <c r="R27" i="40"/>
  <c r="S27" i="40"/>
  <c r="T27" i="40"/>
  <c r="U27" i="40"/>
  <c r="V27" i="40"/>
  <c r="W27" i="40"/>
  <c r="X27" i="40"/>
  <c r="Y27" i="40"/>
  <c r="Z27" i="40"/>
  <c r="D28" i="40"/>
  <c r="E28" i="40"/>
  <c r="F28" i="40"/>
  <c r="G28" i="40"/>
  <c r="H28" i="40"/>
  <c r="I28" i="40"/>
  <c r="J28" i="40"/>
  <c r="K28" i="40"/>
  <c r="L28" i="40"/>
  <c r="M28" i="40"/>
  <c r="N28" i="40"/>
  <c r="O28" i="40"/>
  <c r="P28" i="40"/>
  <c r="Q28" i="40"/>
  <c r="R28" i="40"/>
  <c r="S28" i="40"/>
  <c r="T28" i="40"/>
  <c r="U28" i="40"/>
  <c r="V28" i="40"/>
  <c r="W28" i="40"/>
  <c r="X28" i="40"/>
  <c r="Y28" i="40"/>
  <c r="Z28" i="40"/>
  <c r="R41" i="40"/>
  <c r="R35" i="40"/>
  <c r="R36" i="40"/>
  <c r="R40" i="40"/>
  <c r="R37" i="40"/>
  <c r="R39" i="40"/>
  <c r="R31" i="40"/>
  <c r="F34" i="40"/>
  <c r="G34" i="40"/>
  <c r="H34" i="40"/>
  <c r="I34" i="40"/>
  <c r="J34" i="40"/>
  <c r="K34" i="40"/>
  <c r="L34" i="40"/>
  <c r="M34" i="40"/>
  <c r="N34" i="40"/>
  <c r="O34" i="40"/>
  <c r="P34" i="40"/>
  <c r="Q34" i="40"/>
  <c r="R34" i="40"/>
  <c r="S34" i="40"/>
  <c r="T34" i="40"/>
  <c r="U34" i="40"/>
  <c r="V34" i="40"/>
  <c r="W34" i="40"/>
  <c r="X34" i="40"/>
  <c r="Y34" i="40"/>
  <c r="Z34" i="40"/>
  <c r="D35" i="40"/>
  <c r="F35" i="40"/>
  <c r="G35" i="40"/>
  <c r="H35" i="40"/>
  <c r="I35" i="40"/>
  <c r="J35" i="40"/>
  <c r="K35" i="40"/>
  <c r="L35" i="40"/>
  <c r="M35" i="40"/>
  <c r="N35" i="40"/>
  <c r="O35" i="40"/>
  <c r="P35" i="40"/>
  <c r="Q35" i="40"/>
  <c r="S35" i="40"/>
  <c r="T35" i="40"/>
  <c r="U35" i="40"/>
  <c r="V35" i="40"/>
  <c r="W35" i="40"/>
  <c r="X35" i="40"/>
  <c r="Y35" i="40"/>
  <c r="Z35" i="40"/>
  <c r="E36" i="40"/>
  <c r="E64" i="40" s="1"/>
  <c r="F36" i="40"/>
  <c r="G36" i="40"/>
  <c r="H36" i="40"/>
  <c r="I36" i="40"/>
  <c r="J36" i="40"/>
  <c r="K36" i="40"/>
  <c r="L36" i="40"/>
  <c r="M36" i="40"/>
  <c r="N36" i="40"/>
  <c r="O36" i="40"/>
  <c r="P36" i="40"/>
  <c r="Q36" i="40"/>
  <c r="S36" i="40"/>
  <c r="T36" i="40"/>
  <c r="U36" i="40"/>
  <c r="V36" i="40"/>
  <c r="W36" i="40"/>
  <c r="X36" i="40"/>
  <c r="Y36" i="40"/>
  <c r="Z36" i="40"/>
  <c r="E37" i="40"/>
  <c r="E65" i="40" s="1"/>
  <c r="F37" i="40"/>
  <c r="G37" i="40"/>
  <c r="H37" i="40"/>
  <c r="I37" i="40"/>
  <c r="J37" i="40"/>
  <c r="K37" i="40"/>
  <c r="L37" i="40"/>
  <c r="M37" i="40"/>
  <c r="N37" i="40"/>
  <c r="O37" i="40"/>
  <c r="Q37" i="40"/>
  <c r="S37" i="40"/>
  <c r="T37" i="40"/>
  <c r="U37" i="40"/>
  <c r="V37" i="40"/>
  <c r="W37" i="40"/>
  <c r="X37" i="40"/>
  <c r="Y37" i="40"/>
  <c r="Z37" i="40"/>
  <c r="E38" i="40"/>
  <c r="E66" i="40" s="1"/>
  <c r="F38" i="40"/>
  <c r="G38" i="40"/>
  <c r="H38" i="40"/>
  <c r="I38" i="40"/>
  <c r="J38" i="40"/>
  <c r="K38" i="40"/>
  <c r="L38" i="40"/>
  <c r="M38" i="40"/>
  <c r="N38" i="40"/>
  <c r="O38" i="40"/>
  <c r="P38" i="40"/>
  <c r="Q38" i="40"/>
  <c r="R38" i="40"/>
  <c r="S38" i="40"/>
  <c r="T38" i="40"/>
  <c r="U38" i="40"/>
  <c r="V38" i="40"/>
  <c r="W38" i="40"/>
  <c r="X38" i="40"/>
  <c r="Y38" i="40"/>
  <c r="Z38" i="40"/>
  <c r="D39" i="40"/>
  <c r="F39" i="40"/>
  <c r="G39" i="40"/>
  <c r="H39" i="40"/>
  <c r="I39" i="40"/>
  <c r="J39" i="40"/>
  <c r="K39" i="40"/>
  <c r="L39" i="40"/>
  <c r="M39" i="40"/>
  <c r="N39" i="40"/>
  <c r="O39" i="40"/>
  <c r="P39" i="40"/>
  <c r="Q39" i="40"/>
  <c r="S39" i="40"/>
  <c r="T39" i="40"/>
  <c r="U39" i="40"/>
  <c r="V39" i="40"/>
  <c r="W39" i="40"/>
  <c r="X39" i="40"/>
  <c r="X67" i="40"/>
  <c r="Y39" i="40"/>
  <c r="Z39" i="40"/>
  <c r="D40" i="40"/>
  <c r="E40" i="40"/>
  <c r="E68" i="40" s="1"/>
  <c r="F40" i="40"/>
  <c r="G40" i="40"/>
  <c r="H40" i="40"/>
  <c r="H30" i="40" s="1"/>
  <c r="I40" i="40"/>
  <c r="J40" i="40"/>
  <c r="K40" i="40"/>
  <c r="L40" i="40"/>
  <c r="M40" i="40"/>
  <c r="N40" i="40"/>
  <c r="O40" i="40"/>
  <c r="P40" i="40"/>
  <c r="Q40" i="40"/>
  <c r="S40" i="40"/>
  <c r="T40" i="40"/>
  <c r="U40" i="40"/>
  <c r="V40" i="40"/>
  <c r="W40" i="40"/>
  <c r="X40" i="40"/>
  <c r="Y40" i="40"/>
  <c r="Z40" i="40"/>
  <c r="F41" i="40"/>
  <c r="G41" i="40"/>
  <c r="H41" i="40"/>
  <c r="I41" i="40"/>
  <c r="J41" i="40"/>
  <c r="K41" i="40"/>
  <c r="L41" i="40"/>
  <c r="M41" i="40"/>
  <c r="M31" i="40"/>
  <c r="N41" i="40"/>
  <c r="O41" i="40"/>
  <c r="P41" i="40"/>
  <c r="Q41" i="40"/>
  <c r="Q31" i="40"/>
  <c r="S41" i="40"/>
  <c r="T41" i="40"/>
  <c r="U41" i="40"/>
  <c r="V41" i="40"/>
  <c r="W41" i="40"/>
  <c r="X41" i="40"/>
  <c r="Y41" i="40"/>
  <c r="Y31" i="40"/>
  <c r="Z41" i="40"/>
  <c r="F42" i="40"/>
  <c r="G42" i="40"/>
  <c r="H42" i="40"/>
  <c r="I42" i="40"/>
  <c r="J42" i="40"/>
  <c r="K42" i="40"/>
  <c r="L42" i="40"/>
  <c r="M42" i="40"/>
  <c r="N42" i="40"/>
  <c r="O42" i="40"/>
  <c r="P42" i="40"/>
  <c r="Q42" i="40"/>
  <c r="R42" i="40"/>
  <c r="S42" i="40"/>
  <c r="T42" i="40"/>
  <c r="U42" i="40"/>
  <c r="V42" i="40"/>
  <c r="W42" i="40"/>
  <c r="X42" i="40"/>
  <c r="Y42" i="40"/>
  <c r="Z42" i="40"/>
  <c r="D44" i="40"/>
  <c r="E44" i="40"/>
  <c r="F44" i="40"/>
  <c r="G44" i="40"/>
  <c r="H44" i="40"/>
  <c r="I44" i="40"/>
  <c r="J44" i="40"/>
  <c r="K44" i="40"/>
  <c r="L44" i="40"/>
  <c r="M44" i="40"/>
  <c r="N44" i="40"/>
  <c r="O44" i="40"/>
  <c r="P44" i="40"/>
  <c r="Q44" i="40"/>
  <c r="R44" i="40"/>
  <c r="S44" i="40"/>
  <c r="T44" i="40"/>
  <c r="U44" i="40"/>
  <c r="V44" i="40"/>
  <c r="W44" i="40"/>
  <c r="X44" i="40"/>
  <c r="X72" i="40"/>
  <c r="Y44" i="40"/>
  <c r="Z44" i="40"/>
  <c r="D45" i="40"/>
  <c r="E45" i="40"/>
  <c r="F45" i="40"/>
  <c r="G45" i="40"/>
  <c r="H45" i="40"/>
  <c r="I45" i="40"/>
  <c r="J45" i="40"/>
  <c r="K45" i="40"/>
  <c r="L45" i="40"/>
  <c r="M45" i="40"/>
  <c r="N45" i="40"/>
  <c r="O45" i="40"/>
  <c r="P45" i="40"/>
  <c r="Q45" i="40"/>
  <c r="R45" i="40"/>
  <c r="S45" i="40"/>
  <c r="T45" i="40"/>
  <c r="U45" i="40"/>
  <c r="V45" i="40"/>
  <c r="W45" i="40"/>
  <c r="X45" i="40"/>
  <c r="Y45" i="40"/>
  <c r="Z45" i="40"/>
  <c r="D46" i="40"/>
  <c r="E46" i="40"/>
  <c r="F46" i="40"/>
  <c r="G46" i="40"/>
  <c r="H46" i="40"/>
  <c r="I46" i="40"/>
  <c r="J46" i="40"/>
  <c r="K46" i="40"/>
  <c r="L46" i="40"/>
  <c r="M46" i="40"/>
  <c r="N46" i="40"/>
  <c r="O46" i="40"/>
  <c r="P46" i="40"/>
  <c r="Q46" i="40"/>
  <c r="R46" i="40"/>
  <c r="S46" i="40"/>
  <c r="T46" i="40"/>
  <c r="U46" i="40"/>
  <c r="V46" i="40"/>
  <c r="W46" i="40"/>
  <c r="X46" i="40"/>
  <c r="Y46" i="40"/>
  <c r="Z46" i="40"/>
  <c r="D47" i="40"/>
  <c r="E47" i="40"/>
  <c r="F47" i="40"/>
  <c r="G47" i="40"/>
  <c r="H47" i="40"/>
  <c r="I47" i="40"/>
  <c r="J47" i="40"/>
  <c r="K47" i="40"/>
  <c r="L47" i="40"/>
  <c r="M47" i="40"/>
  <c r="N47" i="40"/>
  <c r="O47" i="40"/>
  <c r="P47" i="40"/>
  <c r="Q47" i="40"/>
  <c r="R47" i="40"/>
  <c r="S47" i="40"/>
  <c r="T47" i="40"/>
  <c r="U47" i="40"/>
  <c r="V47" i="40"/>
  <c r="W47" i="40"/>
  <c r="X47" i="40"/>
  <c r="Y47" i="40"/>
  <c r="Z47" i="40"/>
  <c r="D48" i="40"/>
  <c r="E48" i="40"/>
  <c r="F48" i="40"/>
  <c r="G48" i="40"/>
  <c r="H48" i="40"/>
  <c r="I48" i="40"/>
  <c r="J48" i="40"/>
  <c r="K48" i="40"/>
  <c r="L48" i="40"/>
  <c r="M48" i="40"/>
  <c r="N48" i="40"/>
  <c r="O48" i="40"/>
  <c r="P48" i="40"/>
  <c r="Q48" i="40"/>
  <c r="R48" i="40"/>
  <c r="S48" i="40"/>
  <c r="T48" i="40"/>
  <c r="U48" i="40"/>
  <c r="V48" i="40"/>
  <c r="W48" i="40"/>
  <c r="X48" i="40"/>
  <c r="Y48" i="40"/>
  <c r="Z48" i="40"/>
  <c r="D49" i="40"/>
  <c r="E49" i="40"/>
  <c r="F49" i="40"/>
  <c r="G49" i="40"/>
  <c r="H49" i="40"/>
  <c r="I49" i="40"/>
  <c r="J49" i="40"/>
  <c r="K49" i="40"/>
  <c r="L49" i="40"/>
  <c r="M49" i="40"/>
  <c r="N49" i="40"/>
  <c r="O49" i="40"/>
  <c r="P49" i="40"/>
  <c r="Q49" i="40"/>
  <c r="R49" i="40"/>
  <c r="S49" i="40"/>
  <c r="T49" i="40"/>
  <c r="U49" i="40"/>
  <c r="V49" i="40"/>
  <c r="W49" i="40"/>
  <c r="X49" i="40"/>
  <c r="Z49" i="40"/>
  <c r="D50" i="40"/>
  <c r="E50" i="40"/>
  <c r="F50" i="40"/>
  <c r="G50" i="40"/>
  <c r="H50" i="40"/>
  <c r="I50" i="40"/>
  <c r="J50" i="40"/>
  <c r="K50" i="40"/>
  <c r="L50" i="40"/>
  <c r="M50" i="40"/>
  <c r="N50" i="40"/>
  <c r="O50" i="40"/>
  <c r="P50" i="40"/>
  <c r="Q50" i="40"/>
  <c r="R50" i="40"/>
  <c r="S50" i="40"/>
  <c r="T50" i="40"/>
  <c r="U50" i="40"/>
  <c r="V50" i="40"/>
  <c r="W50" i="40"/>
  <c r="X50" i="40"/>
  <c r="Y50" i="40"/>
  <c r="Z50" i="40"/>
  <c r="D51" i="40"/>
  <c r="E51" i="40"/>
  <c r="F51" i="40"/>
  <c r="G51" i="40"/>
  <c r="H51" i="40"/>
  <c r="I51" i="40"/>
  <c r="J51" i="40"/>
  <c r="K51" i="40"/>
  <c r="L51" i="40"/>
  <c r="M51" i="40"/>
  <c r="N51" i="40"/>
  <c r="O51" i="40"/>
  <c r="P51" i="40"/>
  <c r="Q51" i="40"/>
  <c r="R51" i="40"/>
  <c r="S51" i="40"/>
  <c r="T51" i="40"/>
  <c r="U51" i="40"/>
  <c r="V51" i="40"/>
  <c r="W51" i="40"/>
  <c r="X51" i="40"/>
  <c r="Y51" i="40"/>
  <c r="Z51" i="40"/>
  <c r="D52" i="40"/>
  <c r="E52" i="40"/>
  <c r="F52" i="40"/>
  <c r="G52" i="40"/>
  <c r="H52" i="40"/>
  <c r="I52" i="40"/>
  <c r="J52" i="40"/>
  <c r="K52" i="40"/>
  <c r="L52" i="40"/>
  <c r="M52" i="40"/>
  <c r="N52" i="40"/>
  <c r="O52" i="40"/>
  <c r="P52" i="40"/>
  <c r="Q52" i="40"/>
  <c r="R52" i="40"/>
  <c r="S52" i="40"/>
  <c r="T52" i="40"/>
  <c r="U52" i="40"/>
  <c r="V52" i="40"/>
  <c r="W52" i="40"/>
  <c r="X52" i="40"/>
  <c r="Y52" i="40"/>
  <c r="Z52" i="40"/>
  <c r="D53" i="40"/>
  <c r="E53" i="40"/>
  <c r="F53" i="40"/>
  <c r="G53" i="40"/>
  <c r="H53" i="40"/>
  <c r="I53" i="40"/>
  <c r="J53" i="40"/>
  <c r="K53" i="40"/>
  <c r="L53" i="40"/>
  <c r="M53" i="40"/>
  <c r="N53" i="40"/>
  <c r="O53" i="40"/>
  <c r="P53" i="40"/>
  <c r="P81" i="40"/>
  <c r="Q53" i="40"/>
  <c r="R53" i="40"/>
  <c r="S53" i="40"/>
  <c r="T53" i="40"/>
  <c r="U53" i="40"/>
  <c r="V53" i="40"/>
  <c r="W53" i="40"/>
  <c r="X53" i="40"/>
  <c r="X81" i="40"/>
  <c r="Y53" i="40"/>
  <c r="Z53" i="40"/>
  <c r="D54" i="40"/>
  <c r="E54" i="40"/>
  <c r="F54" i="40"/>
  <c r="G54" i="40"/>
  <c r="H54" i="40"/>
  <c r="I54" i="40"/>
  <c r="J54" i="40"/>
  <c r="K54" i="40"/>
  <c r="L54" i="40"/>
  <c r="M54" i="40"/>
  <c r="N54" i="40"/>
  <c r="O54" i="40"/>
  <c r="P54" i="40"/>
  <c r="Q54" i="40"/>
  <c r="R54" i="40"/>
  <c r="S54" i="40"/>
  <c r="T54" i="40"/>
  <c r="U54" i="40"/>
  <c r="V54" i="40"/>
  <c r="W54" i="40"/>
  <c r="X54" i="40"/>
  <c r="Y54" i="40"/>
  <c r="Y82" i="40"/>
  <c r="Z54" i="40"/>
  <c r="D55" i="40"/>
  <c r="E55" i="40"/>
  <c r="F55" i="40"/>
  <c r="G55" i="40"/>
  <c r="H55" i="40"/>
  <c r="I55" i="40"/>
  <c r="J55" i="40"/>
  <c r="K55" i="40"/>
  <c r="L55" i="40"/>
  <c r="M55" i="40"/>
  <c r="N55" i="40"/>
  <c r="O55" i="40"/>
  <c r="P55" i="40"/>
  <c r="Q55" i="40"/>
  <c r="R55" i="40"/>
  <c r="S55" i="40"/>
  <c r="T55" i="40"/>
  <c r="U55" i="40"/>
  <c r="V55" i="40"/>
  <c r="W55" i="40"/>
  <c r="X55" i="40"/>
  <c r="Y55" i="40"/>
  <c r="Z55" i="40"/>
  <c r="D56" i="40"/>
  <c r="E56" i="40"/>
  <c r="F56" i="40"/>
  <c r="G56" i="40"/>
  <c r="H56" i="40"/>
  <c r="I56" i="40"/>
  <c r="J56" i="40"/>
  <c r="K56" i="40"/>
  <c r="L56" i="40"/>
  <c r="M56" i="40"/>
  <c r="N56" i="40"/>
  <c r="O56" i="40"/>
  <c r="P56" i="40"/>
  <c r="Q56" i="40"/>
  <c r="R56" i="40"/>
  <c r="S56" i="40"/>
  <c r="T56" i="40"/>
  <c r="U56" i="40"/>
  <c r="V56" i="40"/>
  <c r="W56" i="40"/>
  <c r="X56" i="40"/>
  <c r="Y56" i="40"/>
  <c r="Z56" i="40"/>
  <c r="D57" i="40"/>
  <c r="E57" i="40"/>
  <c r="F57" i="40"/>
  <c r="G57" i="40"/>
  <c r="H57" i="40"/>
  <c r="I57" i="40"/>
  <c r="J57" i="40"/>
  <c r="K57" i="40"/>
  <c r="L57" i="40"/>
  <c r="M57" i="40"/>
  <c r="N57" i="40"/>
  <c r="O57" i="40"/>
  <c r="P57" i="40"/>
  <c r="Q57" i="40"/>
  <c r="R57" i="40"/>
  <c r="S57" i="40"/>
  <c r="T57" i="40"/>
  <c r="U57" i="40"/>
  <c r="V57" i="40"/>
  <c r="W57" i="40"/>
  <c r="X57" i="40"/>
  <c r="Y57" i="40"/>
  <c r="Z57" i="40"/>
  <c r="D58" i="40"/>
  <c r="E58" i="40"/>
  <c r="F58" i="40"/>
  <c r="G58" i="40"/>
  <c r="H58" i="40"/>
  <c r="I58" i="40"/>
  <c r="J58" i="40"/>
  <c r="K58" i="40"/>
  <c r="L58" i="40"/>
  <c r="M58" i="40"/>
  <c r="N58" i="40"/>
  <c r="O58" i="40"/>
  <c r="P58" i="40"/>
  <c r="Q58" i="40"/>
  <c r="R58" i="40"/>
  <c r="S58" i="40"/>
  <c r="T58" i="40"/>
  <c r="U58" i="40"/>
  <c r="V58" i="40"/>
  <c r="W58" i="40"/>
  <c r="X58" i="40"/>
  <c r="Y58" i="40"/>
  <c r="Z58" i="40"/>
  <c r="D59" i="40"/>
  <c r="E59" i="40"/>
  <c r="F59" i="40"/>
  <c r="G59" i="40"/>
  <c r="H59" i="40"/>
  <c r="I59" i="40"/>
  <c r="J59" i="40"/>
  <c r="K59" i="40"/>
  <c r="L59" i="40"/>
  <c r="M59" i="40"/>
  <c r="N59" i="40"/>
  <c r="O59" i="40"/>
  <c r="P59" i="40"/>
  <c r="Q59" i="40"/>
  <c r="R59" i="40"/>
  <c r="S59" i="40"/>
  <c r="T59" i="40"/>
  <c r="U59" i="40"/>
  <c r="V59" i="40"/>
  <c r="W59" i="40"/>
  <c r="X59" i="40"/>
  <c r="Y59" i="40"/>
  <c r="Z59" i="40"/>
  <c r="O62" i="40"/>
  <c r="P62" i="40"/>
  <c r="X62" i="40"/>
  <c r="X63" i="40"/>
  <c r="O65" i="40"/>
  <c r="S65" i="40"/>
  <c r="O67" i="40"/>
  <c r="W68" i="40"/>
  <c r="X68" i="40"/>
  <c r="O69" i="40"/>
  <c r="P69" i="40"/>
  <c r="X69" i="40"/>
  <c r="P70" i="40"/>
  <c r="X70" i="40"/>
  <c r="W73" i="40"/>
  <c r="P74" i="40"/>
  <c r="S74" i="40"/>
  <c r="X74" i="40"/>
  <c r="L75" i="40"/>
  <c r="T75" i="40"/>
  <c r="W75" i="40"/>
  <c r="X75" i="40"/>
  <c r="Y75" i="40"/>
  <c r="P76" i="40"/>
  <c r="X76" i="40"/>
  <c r="O77" i="40"/>
  <c r="S77" i="40"/>
  <c r="O78" i="40"/>
  <c r="P78" i="40"/>
  <c r="X78" i="40"/>
  <c r="P79" i="40"/>
  <c r="S79" i="40"/>
  <c r="X79" i="40"/>
  <c r="P80" i="40"/>
  <c r="T80" i="40"/>
  <c r="X80" i="40"/>
  <c r="O81" i="40"/>
  <c r="O82" i="40"/>
  <c r="T82" i="40"/>
  <c r="X82" i="40"/>
  <c r="P83" i="40"/>
  <c r="W83" i="40"/>
  <c r="X83" i="40"/>
  <c r="K84" i="40"/>
  <c r="P84" i="40"/>
  <c r="X84" i="40"/>
  <c r="P85" i="40"/>
  <c r="S85" i="40"/>
  <c r="X85" i="40"/>
  <c r="T86" i="40"/>
  <c r="W86" i="40"/>
  <c r="X86" i="40"/>
  <c r="Y86" i="40"/>
  <c r="T87" i="40"/>
  <c r="W87" i="40"/>
  <c r="X87" i="40"/>
  <c r="B3" i="43"/>
  <c r="B6" i="43"/>
  <c r="B40" i="43"/>
  <c r="B41" i="43"/>
  <c r="B45" i="43"/>
  <c r="B46" i="43"/>
  <c r="B47" i="43"/>
  <c r="B48" i="43"/>
  <c r="B49" i="43"/>
  <c r="B50" i="43"/>
  <c r="B51" i="43"/>
  <c r="B53" i="43"/>
  <c r="B54" i="43"/>
  <c r="B55" i="43"/>
  <c r="B56" i="43"/>
  <c r="B60" i="43"/>
  <c r="B72" i="43"/>
  <c r="A85" i="43"/>
  <c r="B85" i="43"/>
  <c r="D85" i="43"/>
  <c r="A86" i="43"/>
  <c r="B86" i="43"/>
  <c r="D86" i="43"/>
  <c r="A87" i="43"/>
  <c r="B87" i="43"/>
  <c r="D87" i="43"/>
  <c r="A88" i="43"/>
  <c r="B88" i="43"/>
  <c r="D88" i="43"/>
  <c r="A89" i="43"/>
  <c r="B89" i="43"/>
  <c r="D89" i="43"/>
  <c r="A90" i="43"/>
  <c r="B90" i="43"/>
  <c r="D90" i="43"/>
  <c r="A91" i="43"/>
  <c r="B91" i="43"/>
  <c r="D91" i="43"/>
  <c r="B109" i="43"/>
  <c r="B110" i="43"/>
  <c r="B111" i="43"/>
  <c r="B112" i="43"/>
  <c r="B113" i="43"/>
  <c r="B114" i="43"/>
  <c r="B115" i="43"/>
  <c r="B116" i="43"/>
  <c r="B117" i="43"/>
  <c r="C1" i="45"/>
  <c r="C2" i="45"/>
  <c r="C4" i="45"/>
  <c r="C6" i="45"/>
  <c r="C7" i="45"/>
  <c r="C8" i="45"/>
  <c r="C2" i="44"/>
  <c r="C3" i="44"/>
  <c r="C4" i="44"/>
  <c r="C5" i="44"/>
  <c r="C7" i="44"/>
  <c r="C8" i="44"/>
  <c r="C9" i="44"/>
  <c r="C12" i="44"/>
  <c r="C19" i="40"/>
  <c r="C75" i="40" s="1"/>
  <c r="C22" i="40"/>
  <c r="C13" i="41" s="1"/>
  <c r="C1" i="40"/>
  <c r="C2" i="40"/>
  <c r="C4" i="40"/>
  <c r="C5" i="40"/>
  <c r="C6" i="40"/>
  <c r="C7" i="40"/>
  <c r="C8" i="40"/>
  <c r="C25" i="40"/>
  <c r="C26" i="40"/>
  <c r="C27" i="40"/>
  <c r="C28" i="40"/>
  <c r="C47" i="14"/>
  <c r="C35" i="40" s="1"/>
  <c r="C48" i="14"/>
  <c r="C36" i="40" s="1"/>
  <c r="C53" i="14"/>
  <c r="C41" i="40" s="1"/>
  <c r="C49" i="14"/>
  <c r="C37" i="40" s="1"/>
  <c r="C52" i="14"/>
  <c r="C40" i="40" s="1"/>
  <c r="C51" i="14"/>
  <c r="C39" i="40" s="1"/>
  <c r="C46" i="14"/>
  <c r="C34" i="40" s="1"/>
  <c r="C50" i="14"/>
  <c r="C38" i="40" s="1"/>
  <c r="C54" i="14"/>
  <c r="C42" i="40" s="1"/>
  <c r="C44" i="40"/>
  <c r="C45" i="40"/>
  <c r="C46" i="40"/>
  <c r="C47" i="40"/>
  <c r="C48" i="40"/>
  <c r="C49" i="40"/>
  <c r="C50" i="40"/>
  <c r="C51" i="40"/>
  <c r="C52" i="40"/>
  <c r="C53" i="40"/>
  <c r="C54" i="40"/>
  <c r="C55" i="40"/>
  <c r="C56" i="40"/>
  <c r="C57" i="40"/>
  <c r="C58" i="40"/>
  <c r="C59" i="40"/>
  <c r="L65" i="40"/>
  <c r="L63" i="40"/>
  <c r="L73" i="40"/>
  <c r="L74" i="40"/>
  <c r="L76" i="40"/>
  <c r="L79" i="40"/>
  <c r="L84" i="40"/>
  <c r="L62" i="40"/>
  <c r="L69" i="40"/>
  <c r="L78" i="40"/>
  <c r="L80" i="40"/>
  <c r="L83" i="40"/>
  <c r="W65" i="40"/>
  <c r="W74" i="40"/>
  <c r="W77" i="40"/>
  <c r="W85" i="40"/>
  <c r="W79" i="40"/>
  <c r="W81" i="40"/>
  <c r="W84" i="40"/>
  <c r="S62" i="40"/>
  <c r="S69" i="40"/>
  <c r="S78" i="40"/>
  <c r="S81" i="40"/>
  <c r="S83" i="40"/>
  <c r="S63" i="40"/>
  <c r="S75" i="40"/>
  <c r="S82" i="40"/>
  <c r="S86" i="40"/>
  <c r="S87" i="40"/>
  <c r="O85" i="40"/>
  <c r="O64" i="40"/>
  <c r="O68" i="40"/>
  <c r="O72" i="40"/>
  <c r="O73" i="40"/>
  <c r="O74" i="40"/>
  <c r="O79" i="40"/>
  <c r="O84" i="40"/>
  <c r="K64" i="40"/>
  <c r="K68" i="40"/>
  <c r="K69" i="40"/>
  <c r="K78" i="40"/>
  <c r="K83" i="40"/>
  <c r="K65" i="40"/>
  <c r="K75" i="40"/>
  <c r="K77" i="40"/>
  <c r="K82" i="40"/>
  <c r="K86" i="40"/>
  <c r="K87" i="40"/>
  <c r="O87" i="40"/>
  <c r="O86" i="40"/>
  <c r="L85" i="40"/>
  <c r="S84" i="40"/>
  <c r="O83" i="40"/>
  <c r="L82" i="40"/>
  <c r="K81" i="40"/>
  <c r="K79" i="40"/>
  <c r="W78" i="40"/>
  <c r="K74" i="40"/>
  <c r="S73" i="40"/>
  <c r="W69" i="40"/>
  <c r="S68" i="40"/>
  <c r="L66" i="40"/>
  <c r="W64" i="40"/>
  <c r="T79" i="40"/>
  <c r="T84" i="40"/>
  <c r="T62" i="40"/>
  <c r="T69" i="40"/>
  <c r="T78" i="40"/>
  <c r="T83" i="40"/>
  <c r="L87" i="40"/>
  <c r="L86" i="40"/>
  <c r="T85" i="40"/>
  <c r="K85" i="40"/>
  <c r="W82" i="40"/>
  <c r="T76" i="40"/>
  <c r="O75" i="40"/>
  <c r="K73" i="40"/>
  <c r="L70" i="40"/>
  <c r="K66" i="40"/>
  <c r="S64" i="40"/>
  <c r="T81" i="40"/>
  <c r="L81" i="40"/>
  <c r="W80" i="40"/>
  <c r="S80" i="40"/>
  <c r="O80" i="40"/>
  <c r="P87" i="40"/>
  <c r="P86" i="40"/>
  <c r="P82" i="40"/>
  <c r="P75" i="40"/>
  <c r="P66" i="40"/>
  <c r="T72" i="40"/>
  <c r="P72" i="40"/>
  <c r="L72" i="40"/>
  <c r="W70" i="40"/>
  <c r="S70" i="40"/>
  <c r="O70" i="40"/>
  <c r="K70" i="40"/>
  <c r="P67" i="40"/>
  <c r="L67" i="40"/>
  <c r="W66" i="40"/>
  <c r="S66" i="40"/>
  <c r="O66" i="40"/>
  <c r="P63" i="40"/>
  <c r="W62" i="40"/>
  <c r="K62" i="40"/>
  <c r="K80" i="40"/>
  <c r="Y78" i="40"/>
  <c r="X77" i="40"/>
  <c r="T77" i="40"/>
  <c r="P77" i="40"/>
  <c r="L77" i="40"/>
  <c r="W76" i="40"/>
  <c r="S76" i="40"/>
  <c r="O76" i="40"/>
  <c r="K76" i="40"/>
  <c r="Y74" i="40"/>
  <c r="X73" i="40"/>
  <c r="T73" i="40"/>
  <c r="P73" i="40"/>
  <c r="W72" i="40"/>
  <c r="S72" i="40"/>
  <c r="K72" i="40"/>
  <c r="T68" i="40"/>
  <c r="P68" i="40"/>
  <c r="L68" i="40"/>
  <c r="W67" i="40"/>
  <c r="S67" i="40"/>
  <c r="K67" i="40"/>
  <c r="Y65" i="40"/>
  <c r="X64" i="40"/>
  <c r="T64" i="40"/>
  <c r="P64" i="40"/>
  <c r="L64" i="40"/>
  <c r="N83" i="40"/>
  <c r="N66" i="40"/>
  <c r="Y81" i="40"/>
  <c r="Y64" i="40"/>
  <c r="U78" i="40"/>
  <c r="Q82" i="40"/>
  <c r="Y84" i="40"/>
  <c r="Y80" i="40"/>
  <c r="Q69" i="40"/>
  <c r="Y30" i="40"/>
  <c r="V79" i="40"/>
  <c r="Z75" i="40"/>
  <c r="N70" i="40"/>
  <c r="U31" i="40"/>
  <c r="W30" i="40"/>
  <c r="W63" i="40"/>
  <c r="S30" i="40"/>
  <c r="O30" i="40"/>
  <c r="O63" i="40"/>
  <c r="K30" i="40"/>
  <c r="K63" i="40"/>
  <c r="Y62" i="40"/>
  <c r="Y66" i="40"/>
  <c r="Y67" i="40"/>
  <c r="Y63" i="40"/>
  <c r="Y70" i="40"/>
  <c r="Y87" i="40"/>
  <c r="Y83" i="40"/>
  <c r="Y69" i="40"/>
  <c r="Y85" i="40"/>
  <c r="Y79" i="40"/>
  <c r="Y76" i="40"/>
  <c r="Y72" i="40"/>
  <c r="V74" i="40"/>
  <c r="Y73" i="40"/>
  <c r="Q30" i="40"/>
  <c r="X30" i="40"/>
  <c r="P30" i="40"/>
  <c r="T65" i="40"/>
  <c r="T66" i="40"/>
  <c r="T70" i="40"/>
  <c r="T74" i="40"/>
  <c r="V31" i="40"/>
  <c r="V69" i="40"/>
  <c r="N31" i="40"/>
  <c r="N69" i="40"/>
  <c r="Y68" i="40"/>
  <c r="U68" i="40"/>
  <c r="Q68" i="40"/>
  <c r="T67" i="40"/>
  <c r="Z65" i="40"/>
  <c r="U30" i="40"/>
  <c r="M30" i="40"/>
  <c r="T30" i="40"/>
  <c r="T63" i="40"/>
  <c r="L30" i="40"/>
  <c r="Z31" i="40"/>
  <c r="Z66" i="40"/>
  <c r="V62" i="40"/>
  <c r="R66" i="40"/>
  <c r="N79" i="40"/>
  <c r="X65" i="40"/>
  <c r="X66" i="40"/>
  <c r="W31" i="40"/>
  <c r="S31" i="40"/>
  <c r="O31" i="40"/>
  <c r="K31" i="40"/>
  <c r="X31" i="40"/>
  <c r="T31" i="40"/>
  <c r="P31" i="40"/>
  <c r="L31" i="40"/>
  <c r="Z30" i="40"/>
  <c r="V30" i="40"/>
  <c r="R30" i="40"/>
  <c r="N30" i="40"/>
  <c r="V70" i="40"/>
  <c r="V65" i="40"/>
  <c r="V75" i="40"/>
  <c r="M62" i="40"/>
  <c r="M66" i="40"/>
  <c r="M67" i="40"/>
  <c r="M64" i="40"/>
  <c r="M72" i="40"/>
  <c r="M77" i="40"/>
  <c r="M80" i="40"/>
  <c r="M83" i="40"/>
  <c r="M85" i="40"/>
  <c r="M79" i="40"/>
  <c r="M63" i="40"/>
  <c r="M70" i="40"/>
  <c r="M81" i="40"/>
  <c r="M84" i="40"/>
  <c r="M75" i="40"/>
  <c r="M87" i="40"/>
  <c r="M76" i="40"/>
  <c r="M86" i="40"/>
  <c r="M73" i="40"/>
  <c r="R62" i="40"/>
  <c r="M82" i="40"/>
  <c r="E75" i="40"/>
  <c r="E85" i="40"/>
  <c r="E77" i="40"/>
  <c r="E83" i="40"/>
  <c r="E72" i="40"/>
  <c r="E76" i="40"/>
  <c r="E79" i="40"/>
  <c r="E84" i="40"/>
  <c r="E80" i="40"/>
  <c r="E87" i="40"/>
  <c r="E81" i="40"/>
  <c r="E86" i="40"/>
  <c r="E78" i="40"/>
  <c r="R79" i="40"/>
  <c r="R70" i="40"/>
  <c r="M74" i="40"/>
  <c r="Q73" i="40"/>
  <c r="M69" i="40"/>
  <c r="U82" i="40"/>
  <c r="M78" i="40"/>
  <c r="E82" i="40"/>
  <c r="Q74" i="40"/>
  <c r="N63" i="40"/>
  <c r="N68" i="40"/>
  <c r="N73" i="40"/>
  <c r="N76" i="40"/>
  <c r="N86" i="40"/>
  <c r="N67" i="40"/>
  <c r="N72" i="40"/>
  <c r="N81" i="40"/>
  <c r="N84" i="40"/>
  <c r="N62" i="40"/>
  <c r="N65" i="40"/>
  <c r="N82" i="40"/>
  <c r="N77" i="40"/>
  <c r="N80" i="40"/>
  <c r="N85" i="40"/>
  <c r="N78" i="40"/>
  <c r="N64" i="40"/>
  <c r="N87" i="40"/>
  <c r="V63" i="40"/>
  <c r="V68" i="40"/>
  <c r="V73" i="40"/>
  <c r="V64" i="40"/>
  <c r="V78" i="40"/>
  <c r="V81" i="40"/>
  <c r="V86" i="40"/>
  <c r="V76" i="40"/>
  <c r="V84" i="40"/>
  <c r="V77" i="40"/>
  <c r="V80" i="40"/>
  <c r="V67" i="40"/>
  <c r="V82" i="40"/>
  <c r="V85" i="40"/>
  <c r="V72" i="40"/>
  <c r="V83" i="40"/>
  <c r="V87" i="40"/>
  <c r="Z63" i="40"/>
  <c r="Z68" i="40"/>
  <c r="Z82" i="40"/>
  <c r="Z86" i="40"/>
  <c r="Z77" i="40"/>
  <c r="Z80" i="40"/>
  <c r="Z84" i="40"/>
  <c r="Z78" i="40"/>
  <c r="Z81" i="40"/>
  <c r="Z72" i="40"/>
  <c r="Z76" i="40"/>
  <c r="Z85" i="40"/>
  <c r="Z74" i="40"/>
  <c r="Z64" i="40"/>
  <c r="Z67" i="40"/>
  <c r="Z73" i="40"/>
  <c r="Z83" i="40"/>
  <c r="Z87" i="40"/>
  <c r="M68" i="40"/>
  <c r="Z69" i="40"/>
  <c r="E73" i="40"/>
  <c r="U73" i="40"/>
  <c r="N74" i="40"/>
  <c r="U65" i="40"/>
  <c r="U69" i="40"/>
  <c r="Q78" i="40"/>
  <c r="Z79" i="40"/>
  <c r="Q65" i="40"/>
  <c r="N75" i="40"/>
  <c r="Z62" i="40"/>
  <c r="V66" i="40"/>
  <c r="Z70" i="40"/>
  <c r="R63" i="40"/>
  <c r="R68" i="40"/>
  <c r="R64" i="40"/>
  <c r="R72" i="40"/>
  <c r="R67" i="40"/>
  <c r="R77" i="40"/>
  <c r="R80" i="40"/>
  <c r="R86" i="40"/>
  <c r="R82" i="40"/>
  <c r="R76" i="40"/>
  <c r="R65" i="40"/>
  <c r="R78" i="40"/>
  <c r="R81" i="40"/>
  <c r="R85" i="40"/>
  <c r="R73" i="40"/>
  <c r="R84" i="40"/>
  <c r="R87" i="40"/>
  <c r="R69" i="40"/>
  <c r="R74" i="40"/>
  <c r="R75" i="40"/>
  <c r="R83" i="40"/>
  <c r="Q62" i="40"/>
  <c r="Q66" i="40"/>
  <c r="Q67" i="40"/>
  <c r="Q72" i="40"/>
  <c r="Q81" i="40"/>
  <c r="Q85" i="40"/>
  <c r="Q63" i="40"/>
  <c r="Q76" i="40"/>
  <c r="Q79" i="40"/>
  <c r="Q87" i="40"/>
  <c r="Q70" i="40"/>
  <c r="Q64" i="40"/>
  <c r="Q75" i="40"/>
  <c r="Q84" i="40"/>
  <c r="Q77" i="40"/>
  <c r="Q80" i="40"/>
  <c r="Q83" i="40"/>
  <c r="Q86" i="40"/>
  <c r="U62" i="40"/>
  <c r="U66" i="40"/>
  <c r="U63" i="40"/>
  <c r="U67" i="40"/>
  <c r="U75" i="40"/>
  <c r="U85" i="40"/>
  <c r="U83" i="40"/>
  <c r="U64" i="40"/>
  <c r="U70" i="40"/>
  <c r="U76" i="40"/>
  <c r="U79" i="40"/>
  <c r="U84" i="40"/>
  <c r="U72" i="40"/>
  <c r="U77" i="40"/>
  <c r="U80" i="40"/>
  <c r="U87" i="40"/>
  <c r="U74" i="40"/>
  <c r="U81" i="40"/>
  <c r="U86" i="40"/>
  <c r="M65" i="40"/>
  <c r="E74" i="40"/>
  <c r="C86" i="40" l="1"/>
  <c r="C66" i="40"/>
  <c r="C82" i="40"/>
  <c r="C65" i="40"/>
  <c r="C78" i="40"/>
  <c r="C74" i="40"/>
  <c r="C8" i="41"/>
  <c r="C10" i="40"/>
  <c r="C2" i="41" s="1"/>
  <c r="C62" i="45"/>
  <c r="C81" i="40"/>
  <c r="C77" i="40"/>
  <c r="C62" i="40"/>
  <c r="C4" i="41"/>
  <c r="C61" i="45"/>
  <c r="C84" i="40"/>
  <c r="C80" i="40"/>
  <c r="C76" i="40"/>
  <c r="C72" i="40"/>
  <c r="C67" i="40"/>
  <c r="C64" i="40"/>
  <c r="C11" i="40"/>
  <c r="C3" i="41" s="1"/>
  <c r="C18" i="40"/>
  <c r="C10" i="41" s="1"/>
  <c r="C13" i="40"/>
  <c r="C5" i="41" s="1"/>
  <c r="C85" i="40"/>
  <c r="C73" i="40"/>
  <c r="C17" i="40"/>
  <c r="C9" i="41" s="1"/>
  <c r="C87" i="40"/>
  <c r="C83" i="40"/>
  <c r="C79" i="40"/>
  <c r="C70" i="40"/>
  <c r="C68" i="40"/>
  <c r="C63" i="40"/>
  <c r="T14" i="40"/>
  <c r="T6" i="41" s="1"/>
  <c r="X14" i="40"/>
  <c r="X6" i="41" s="1"/>
  <c r="J17" i="40"/>
  <c r="J10" i="40"/>
  <c r="J30" i="40"/>
  <c r="J31" i="40"/>
  <c r="J22" i="40"/>
  <c r="J13" i="40"/>
  <c r="J9" i="44"/>
  <c r="J16" i="40"/>
  <c r="J11" i="40"/>
  <c r="J19" i="40"/>
  <c r="J82" i="40" s="1"/>
  <c r="J14" i="40"/>
  <c r="W14" i="40"/>
  <c r="W6" i="41" s="1"/>
  <c r="S14" i="40"/>
  <c r="S6" i="41" s="1"/>
  <c r="O14" i="40"/>
  <c r="O6" i="41" s="1"/>
  <c r="M14" i="40"/>
  <c r="M6" i="41" s="1"/>
  <c r="E5" i="44"/>
  <c r="E11" i="39"/>
  <c r="F31" i="40"/>
  <c r="X6" i="39"/>
  <c r="X6" i="44" s="1"/>
  <c r="X10" i="44" s="1"/>
  <c r="F30" i="40"/>
  <c r="C31" i="40"/>
  <c r="C69" i="40"/>
  <c r="M11" i="39"/>
  <c r="U14" i="40"/>
  <c r="U6" i="41" s="1"/>
  <c r="O10" i="44"/>
  <c r="Z14" i="40"/>
  <c r="Z6" i="41" s="1"/>
  <c r="M15" i="40"/>
  <c r="M7" i="41" s="1"/>
  <c r="M11" i="41" s="1"/>
  <c r="W6" i="39"/>
  <c r="U6" i="39"/>
  <c r="U11" i="39" s="1"/>
  <c r="C14" i="40"/>
  <c r="C6" i="41" s="1"/>
  <c r="P6" i="39"/>
  <c r="P15" i="40" s="1"/>
  <c r="D30" i="40"/>
  <c r="D31" i="40"/>
  <c r="E31" i="40"/>
  <c r="E30" i="40"/>
  <c r="E69" i="40"/>
  <c r="O15" i="40"/>
  <c r="L14" i="40"/>
  <c r="K14" i="40"/>
  <c r="N14" i="40"/>
  <c r="N6" i="41" s="1"/>
  <c r="Y14" i="40"/>
  <c r="Y6" i="39"/>
  <c r="K6" i="39"/>
  <c r="K14" i="39" s="1"/>
  <c r="T6" i="39"/>
  <c r="K5" i="44"/>
  <c r="O11" i="39"/>
  <c r="Q14" i="40"/>
  <c r="O14" i="39"/>
  <c r="S6" i="39"/>
  <c r="Q6" i="39"/>
  <c r="Q14" i="39" s="1"/>
  <c r="L6" i="39"/>
  <c r="L11" i="39" s="1"/>
  <c r="H2" i="44"/>
  <c r="D19" i="40"/>
  <c r="D22" i="40"/>
  <c r="D13" i="41" s="1"/>
  <c r="D17" i="40"/>
  <c r="D9" i="41" s="1"/>
  <c r="D18" i="40"/>
  <c r="D10" i="41" s="1"/>
  <c r="D10" i="40"/>
  <c r="D2" i="41" s="1"/>
  <c r="D62" i="45"/>
  <c r="D13" i="40"/>
  <c r="D5" i="41" s="1"/>
  <c r="D67" i="40"/>
  <c r="D69" i="40"/>
  <c r="D70" i="40"/>
  <c r="D74" i="40"/>
  <c r="D75" i="40"/>
  <c r="D82" i="40"/>
  <c r="D83" i="40"/>
  <c r="D84" i="40"/>
  <c r="D85" i="40"/>
  <c r="D86" i="40"/>
  <c r="D65" i="40"/>
  <c r="D79" i="40"/>
  <c r="D72" i="40"/>
  <c r="D81" i="40"/>
  <c r="D62" i="40"/>
  <c r="D87" i="40"/>
  <c r="D63" i="40"/>
  <c r="D66" i="40"/>
  <c r="D76" i="40"/>
  <c r="D77" i="40"/>
  <c r="D68" i="40"/>
  <c r="D4" i="41"/>
  <c r="D78" i="40"/>
  <c r="D80" i="40"/>
  <c r="D73" i="40"/>
  <c r="D64" i="40"/>
  <c r="D61" i="45"/>
  <c r="D11" i="40"/>
  <c r="D3" i="41" s="1"/>
  <c r="D16" i="40"/>
  <c r="D8" i="41" s="1"/>
  <c r="D14" i="40"/>
  <c r="D6" i="41" s="1"/>
  <c r="H9" i="44"/>
  <c r="G9" i="44"/>
  <c r="G2" i="44"/>
  <c r="I31" i="40"/>
  <c r="I7" i="44"/>
  <c r="I4" i="44"/>
  <c r="I3" i="44"/>
  <c r="I2" i="44"/>
  <c r="I30" i="40"/>
  <c r="I18" i="40"/>
  <c r="I12" i="44"/>
  <c r="G14" i="40"/>
  <c r="G61" i="45"/>
  <c r="G62" i="45"/>
  <c r="G17" i="40"/>
  <c r="G11" i="40"/>
  <c r="I13" i="40"/>
  <c r="D27" i="43"/>
  <c r="D24" i="43"/>
  <c r="D23" i="43"/>
  <c r="I5" i="44"/>
  <c r="I11" i="40"/>
  <c r="I10" i="40"/>
  <c r="I16" i="40"/>
  <c r="I6" i="39"/>
  <c r="I6" i="44" s="1"/>
  <c r="I22" i="40"/>
  <c r="I17" i="40"/>
  <c r="I14" i="40"/>
  <c r="I19" i="40"/>
  <c r="H17" i="40"/>
  <c r="H12" i="44"/>
  <c r="H5" i="44"/>
  <c r="H4" i="44"/>
  <c r="H8" i="44"/>
  <c r="H6" i="39"/>
  <c r="H6" i="44" s="1"/>
  <c r="H22" i="40"/>
  <c r="H13" i="40"/>
  <c r="H7" i="44"/>
  <c r="H3" i="44"/>
  <c r="H10" i="40"/>
  <c r="H18" i="40"/>
  <c r="H14" i="40"/>
  <c r="H19" i="40"/>
  <c r="H64" i="40" s="1"/>
  <c r="H31" i="40"/>
  <c r="H16" i="40"/>
  <c r="H11" i="40"/>
  <c r="C14" i="39"/>
  <c r="C15" i="40"/>
  <c r="C11" i="39"/>
  <c r="C6" i="44"/>
  <c r="C10" i="44" s="1"/>
  <c r="C30" i="40"/>
  <c r="E15" i="40"/>
  <c r="E6" i="44"/>
  <c r="E10" i="44" s="1"/>
  <c r="E14" i="39"/>
  <c r="M10" i="44"/>
  <c r="U14" i="39"/>
  <c r="M14" i="39"/>
  <c r="V6" i="39"/>
  <c r="V14" i="39" s="1"/>
  <c r="V5" i="44"/>
  <c r="T6" i="44"/>
  <c r="T10" i="44" s="1"/>
  <c r="N6" i="39"/>
  <c r="E14" i="40"/>
  <c r="D6" i="39"/>
  <c r="G31" i="40"/>
  <c r="X14" i="39"/>
  <c r="Z6" i="39"/>
  <c r="R6" i="39"/>
  <c r="J6" i="39"/>
  <c r="D5" i="44"/>
  <c r="G6" i="39"/>
  <c r="G6" i="44" s="1"/>
  <c r="G13" i="40"/>
  <c r="G30" i="40"/>
  <c r="G22" i="40"/>
  <c r="G18" i="40"/>
  <c r="G16" i="40"/>
  <c r="G19" i="40"/>
  <c r="G66" i="40" s="1"/>
  <c r="G10" i="40"/>
  <c r="G7" i="44"/>
  <c r="F4" i="41"/>
  <c r="F67" i="40"/>
  <c r="F64" i="40"/>
  <c r="F78" i="40"/>
  <c r="F66" i="40"/>
  <c r="F14" i="40"/>
  <c r="F9" i="44"/>
  <c r="F2" i="44"/>
  <c r="F18" i="40"/>
  <c r="F10" i="41" s="1"/>
  <c r="F10" i="40"/>
  <c r="F12" i="44"/>
  <c r="F8" i="44"/>
  <c r="F3" i="44"/>
  <c r="F65" i="40"/>
  <c r="F87" i="40"/>
  <c r="F77" i="40"/>
  <c r="F72" i="40"/>
  <c r="F86" i="40"/>
  <c r="F74" i="40"/>
  <c r="F80" i="40"/>
  <c r="F68" i="40"/>
  <c r="F8" i="41"/>
  <c r="F85" i="40"/>
  <c r="F84" i="40"/>
  <c r="F81" i="40"/>
  <c r="F63" i="40"/>
  <c r="F83" i="40"/>
  <c r="F79" i="40"/>
  <c r="F70" i="40"/>
  <c r="F13" i="41"/>
  <c r="F2" i="41"/>
  <c r="F82" i="40"/>
  <c r="F76" i="40"/>
  <c r="F73" i="40"/>
  <c r="F62" i="40"/>
  <c r="F75" i="40"/>
  <c r="F11" i="40"/>
  <c r="F3" i="41" s="1"/>
  <c r="F62" i="45"/>
  <c r="F61" i="45"/>
  <c r="F69" i="40"/>
  <c r="F6" i="39"/>
  <c r="F17" i="40"/>
  <c r="F9" i="41" s="1"/>
  <c r="F13" i="40"/>
  <c r="J6" i="41" l="1"/>
  <c r="J80" i="40"/>
  <c r="J2" i="41"/>
  <c r="J4" i="41"/>
  <c r="J8" i="41"/>
  <c r="J64" i="40"/>
  <c r="J65" i="40"/>
  <c r="J74" i="40"/>
  <c r="J68" i="40"/>
  <c r="J76" i="40"/>
  <c r="J70" i="40"/>
  <c r="J79" i="40"/>
  <c r="J67" i="40"/>
  <c r="J84" i="40"/>
  <c r="J75" i="40"/>
  <c r="J66" i="40"/>
  <c r="J81" i="40"/>
  <c r="J85" i="40"/>
  <c r="J78" i="40"/>
  <c r="J69" i="40"/>
  <c r="J86" i="40"/>
  <c r="J62" i="40"/>
  <c r="J63" i="40"/>
  <c r="J73" i="40"/>
  <c r="J5" i="41"/>
  <c r="J10" i="41"/>
  <c r="J72" i="40"/>
  <c r="J83" i="40"/>
  <c r="J3" i="41"/>
  <c r="J13" i="41"/>
  <c r="J9" i="41"/>
  <c r="J77" i="40"/>
  <c r="J87" i="40"/>
  <c r="P14" i="39"/>
  <c r="P23" i="40" s="1"/>
  <c r="P14" i="41" s="1"/>
  <c r="C15" i="45"/>
  <c r="M20" i="40"/>
  <c r="X15" i="40"/>
  <c r="X7" i="41" s="1"/>
  <c r="X11" i="41" s="1"/>
  <c r="X11" i="39"/>
  <c r="E15" i="45"/>
  <c r="P6" i="44"/>
  <c r="P10" i="44" s="1"/>
  <c r="P11" i="39"/>
  <c r="W6" i="44"/>
  <c r="W10" i="44" s="1"/>
  <c r="W11" i="39"/>
  <c r="W15" i="40"/>
  <c r="W14" i="39"/>
  <c r="W23" i="40" s="1"/>
  <c r="W14" i="41" s="1"/>
  <c r="L14" i="39"/>
  <c r="L23" i="40" s="1"/>
  <c r="L14" i="41" s="1"/>
  <c r="U6" i="44"/>
  <c r="U10" i="44" s="1"/>
  <c r="U15" i="40"/>
  <c r="U7" i="41" s="1"/>
  <c r="U11" i="41" s="1"/>
  <c r="K13" i="44"/>
  <c r="K23" i="40"/>
  <c r="K14" i="41" s="1"/>
  <c r="Q6" i="41"/>
  <c r="Y6" i="44"/>
  <c r="Y10" i="44" s="1"/>
  <c r="Y15" i="40"/>
  <c r="Y7" i="41" s="1"/>
  <c r="S15" i="40"/>
  <c r="S11" i="39"/>
  <c r="S6" i="44"/>
  <c r="S10" i="44" s="1"/>
  <c r="Y6" i="41"/>
  <c r="O7" i="41"/>
  <c r="O11" i="41" s="1"/>
  <c r="O20" i="40"/>
  <c r="Y11" i="39"/>
  <c r="Y14" i="39"/>
  <c r="Y23" i="40" s="1"/>
  <c r="Y14" i="41" s="1"/>
  <c r="O13" i="44"/>
  <c r="O23" i="40"/>
  <c r="O14" i="41" s="1"/>
  <c r="T14" i="39"/>
  <c r="T15" i="40"/>
  <c r="T11" i="39"/>
  <c r="Q6" i="44"/>
  <c r="Q10" i="44" s="1"/>
  <c r="Q11" i="39"/>
  <c r="Q15" i="40"/>
  <c r="Q7" i="41" s="1"/>
  <c r="L6" i="41"/>
  <c r="L6" i="44"/>
  <c r="L10" i="44" s="1"/>
  <c r="L15" i="40"/>
  <c r="L7" i="41" s="1"/>
  <c r="S14" i="39"/>
  <c r="K11" i="39"/>
  <c r="K6" i="44"/>
  <c r="K10" i="44" s="1"/>
  <c r="K15" i="40"/>
  <c r="K7" i="41" s="1"/>
  <c r="K6" i="41"/>
  <c r="P20" i="40"/>
  <c r="P7" i="41"/>
  <c r="P11" i="41" s="1"/>
  <c r="G15" i="40"/>
  <c r="G15" i="45" s="1"/>
  <c r="I10" i="44"/>
  <c r="G86" i="40"/>
  <c r="G4" i="41"/>
  <c r="G13" i="41"/>
  <c r="G6" i="41"/>
  <c r="C16" i="45"/>
  <c r="E16" i="45"/>
  <c r="I66" i="40"/>
  <c r="I69" i="40"/>
  <c r="I75" i="40"/>
  <c r="I85" i="40"/>
  <c r="I84" i="40"/>
  <c r="I74" i="40"/>
  <c r="I82" i="40"/>
  <c r="I64" i="40"/>
  <c r="I87" i="40"/>
  <c r="I81" i="40"/>
  <c r="I78" i="40"/>
  <c r="I86" i="40"/>
  <c r="I70" i="40"/>
  <c r="I5" i="41"/>
  <c r="I10" i="41"/>
  <c r="I62" i="40"/>
  <c r="I77" i="40"/>
  <c r="I13" i="41"/>
  <c r="I3" i="41"/>
  <c r="I79" i="40"/>
  <c r="I72" i="40"/>
  <c r="I6" i="41"/>
  <c r="I15" i="40"/>
  <c r="I16" i="45" s="1"/>
  <c r="I11" i="39"/>
  <c r="I83" i="40"/>
  <c r="I73" i="40"/>
  <c r="I14" i="39"/>
  <c r="I9" i="41"/>
  <c r="I2" i="41"/>
  <c r="I68" i="40"/>
  <c r="I65" i="40"/>
  <c r="I80" i="40"/>
  <c r="I8" i="41"/>
  <c r="I63" i="40"/>
  <c r="I76" i="40"/>
  <c r="I67" i="40"/>
  <c r="I4" i="41"/>
  <c r="H14" i="39"/>
  <c r="H13" i="44" s="1"/>
  <c r="H11" i="39"/>
  <c r="H10" i="44"/>
  <c r="H15" i="40"/>
  <c r="H20" i="40" s="1"/>
  <c r="H10" i="41"/>
  <c r="H5" i="41"/>
  <c r="H4" i="41"/>
  <c r="H8" i="41"/>
  <c r="H13" i="41"/>
  <c r="H69" i="40"/>
  <c r="H80" i="40"/>
  <c r="H70" i="40"/>
  <c r="H77" i="40"/>
  <c r="H66" i="40"/>
  <c r="H87" i="40"/>
  <c r="H79" i="40"/>
  <c r="H65" i="40"/>
  <c r="H78" i="40"/>
  <c r="H82" i="40"/>
  <c r="H83" i="40"/>
  <c r="H81" i="40"/>
  <c r="H72" i="40"/>
  <c r="H62" i="40"/>
  <c r="H76" i="40"/>
  <c r="H86" i="40"/>
  <c r="H63" i="40"/>
  <c r="H73" i="40"/>
  <c r="H68" i="40"/>
  <c r="H67" i="40"/>
  <c r="H84" i="40"/>
  <c r="H75" i="40"/>
  <c r="H2" i="41"/>
  <c r="H74" i="40"/>
  <c r="H3" i="41"/>
  <c r="H6" i="41"/>
  <c r="H9" i="41"/>
  <c r="H85" i="40"/>
  <c r="Z6" i="44"/>
  <c r="Z10" i="44" s="1"/>
  <c r="Z15" i="40"/>
  <c r="Z11" i="39"/>
  <c r="M23" i="40"/>
  <c r="M14" i="41" s="1"/>
  <c r="M13" i="44"/>
  <c r="G14" i="39"/>
  <c r="X23" i="40"/>
  <c r="X14" i="41" s="1"/>
  <c r="X13" i="44"/>
  <c r="E6" i="41"/>
  <c r="E20" i="40"/>
  <c r="V15" i="40"/>
  <c r="V6" i="44"/>
  <c r="V10" i="44" s="1"/>
  <c r="V11" i="39"/>
  <c r="Q23" i="40"/>
  <c r="Q14" i="41" s="1"/>
  <c r="Q13" i="44"/>
  <c r="E7" i="41"/>
  <c r="F6" i="41"/>
  <c r="G11" i="39"/>
  <c r="J14" i="39"/>
  <c r="J6" i="44"/>
  <c r="J10" i="44" s="1"/>
  <c r="J15" i="40"/>
  <c r="J15" i="45" s="1"/>
  <c r="J11" i="39"/>
  <c r="Z14" i="39"/>
  <c r="N14" i="39"/>
  <c r="N6" i="44"/>
  <c r="N10" i="44" s="1"/>
  <c r="N15" i="40"/>
  <c r="N11" i="39"/>
  <c r="U23" i="40"/>
  <c r="U14" i="41" s="1"/>
  <c r="U13" i="44"/>
  <c r="C7" i="41"/>
  <c r="C11" i="41" s="1"/>
  <c r="C20" i="40"/>
  <c r="V23" i="40"/>
  <c r="V14" i="41" s="1"/>
  <c r="V13" i="44"/>
  <c r="G10" i="44"/>
  <c r="R14" i="39"/>
  <c r="R15" i="40"/>
  <c r="R6" i="44"/>
  <c r="R10" i="44" s="1"/>
  <c r="R11" i="39"/>
  <c r="E23" i="40"/>
  <c r="E19" i="45" s="1"/>
  <c r="E13" i="44"/>
  <c r="C13" i="44"/>
  <c r="C23" i="40"/>
  <c r="C13" i="45" s="1"/>
  <c r="C28" i="45" s="1"/>
  <c r="D14" i="39"/>
  <c r="D6" i="44"/>
  <c r="D10" i="44" s="1"/>
  <c r="D15" i="40"/>
  <c r="D15" i="45" s="1"/>
  <c r="D11" i="39"/>
  <c r="G9" i="41"/>
  <c r="G3" i="41"/>
  <c r="G5" i="41"/>
  <c r="G62" i="40"/>
  <c r="G83" i="40"/>
  <c r="G8" i="41"/>
  <c r="G10" i="41"/>
  <c r="G2" i="41"/>
  <c r="G85" i="40"/>
  <c r="G81" i="40"/>
  <c r="G82" i="40"/>
  <c r="G64" i="40"/>
  <c r="G79" i="40"/>
  <c r="G78" i="40"/>
  <c r="G68" i="40"/>
  <c r="G76" i="40"/>
  <c r="G84" i="40"/>
  <c r="G72" i="40"/>
  <c r="G67" i="40"/>
  <c r="G77" i="40"/>
  <c r="G69" i="40"/>
  <c r="G80" i="40"/>
  <c r="G63" i="40"/>
  <c r="G73" i="40"/>
  <c r="G65" i="40"/>
  <c r="G74" i="40"/>
  <c r="G70" i="40"/>
  <c r="G87" i="40"/>
  <c r="G20" i="40"/>
  <c r="G75" i="40"/>
  <c r="F15" i="40"/>
  <c r="F16" i="45" s="1"/>
  <c r="F11" i="39"/>
  <c r="F6" i="44"/>
  <c r="F10" i="44" s="1"/>
  <c r="F5" i="41"/>
  <c r="F14" i="39"/>
  <c r="J16" i="45" l="1"/>
  <c r="P13" i="44"/>
  <c r="I17" i="45"/>
  <c r="I15" i="45"/>
  <c r="X20" i="40"/>
  <c r="L13" i="44"/>
  <c r="K20" i="40"/>
  <c r="U20" i="40"/>
  <c r="W13" i="44"/>
  <c r="L20" i="40"/>
  <c r="Y20" i="40"/>
  <c r="W7" i="41"/>
  <c r="W11" i="41" s="1"/>
  <c r="W20" i="40"/>
  <c r="Y11" i="41"/>
  <c r="K11" i="41"/>
  <c r="T23" i="40"/>
  <c r="T14" i="41" s="1"/>
  <c r="T13" i="44"/>
  <c r="F15" i="45"/>
  <c r="D16" i="45"/>
  <c r="D17" i="45" s="1"/>
  <c r="H16" i="45"/>
  <c r="Q11" i="41"/>
  <c r="C19" i="45"/>
  <c r="Y13" i="44"/>
  <c r="S13" i="44"/>
  <c r="S23" i="40"/>
  <c r="S14" i="41" s="1"/>
  <c r="H15" i="45"/>
  <c r="S7" i="41"/>
  <c r="S11" i="41" s="1"/>
  <c r="S20" i="40"/>
  <c r="Q20" i="40"/>
  <c r="G7" i="41"/>
  <c r="G11" i="41" s="1"/>
  <c r="G16" i="45"/>
  <c r="L11" i="41"/>
  <c r="T7" i="41"/>
  <c r="T11" i="41" s="1"/>
  <c r="T20" i="40"/>
  <c r="G23" i="40"/>
  <c r="G13" i="45" s="1"/>
  <c r="G13" i="44"/>
  <c r="E17" i="45"/>
  <c r="E20" i="45"/>
  <c r="F17" i="45"/>
  <c r="C17" i="45"/>
  <c r="C20" i="45"/>
  <c r="I13" i="44"/>
  <c r="I7" i="41"/>
  <c r="I11" i="41" s="1"/>
  <c r="I20" i="40"/>
  <c r="I23" i="40"/>
  <c r="I20" i="45" s="1"/>
  <c r="H7" i="41"/>
  <c r="H11" i="41" s="1"/>
  <c r="H23" i="40"/>
  <c r="Z23" i="40"/>
  <c r="Z14" i="41" s="1"/>
  <c r="Z13" i="44"/>
  <c r="J23" i="40"/>
  <c r="J13" i="44"/>
  <c r="F7" i="41"/>
  <c r="F11" i="41" s="1"/>
  <c r="D23" i="40"/>
  <c r="D13" i="45" s="1"/>
  <c r="D13" i="44"/>
  <c r="N7" i="41"/>
  <c r="N11" i="41" s="1"/>
  <c r="N20" i="40"/>
  <c r="E11" i="41"/>
  <c r="C14" i="41"/>
  <c r="E13" i="45"/>
  <c r="E14" i="41"/>
  <c r="R7" i="41"/>
  <c r="R11" i="41" s="1"/>
  <c r="R20" i="40"/>
  <c r="J7" i="41"/>
  <c r="J11" i="41" s="1"/>
  <c r="J20" i="40"/>
  <c r="V7" i="41"/>
  <c r="V11" i="41" s="1"/>
  <c r="V20" i="40"/>
  <c r="Z7" i="41"/>
  <c r="Z11" i="41" s="1"/>
  <c r="Z20" i="40"/>
  <c r="D7" i="41"/>
  <c r="D11" i="41" s="1"/>
  <c r="D20" i="40"/>
  <c r="R23" i="40"/>
  <c r="R14" i="41" s="1"/>
  <c r="R13" i="44"/>
  <c r="N23" i="40"/>
  <c r="N14" i="41" s="1"/>
  <c r="N13" i="44"/>
  <c r="F20" i="40"/>
  <c r="F23" i="40"/>
  <c r="F13" i="45" s="1"/>
  <c r="F13" i="44"/>
  <c r="J14" i="41" l="1"/>
  <c r="J13" i="45"/>
  <c r="H13" i="45"/>
  <c r="J17" i="45"/>
  <c r="J20" i="45"/>
  <c r="I19" i="45"/>
  <c r="J19" i="45"/>
  <c r="I13" i="45"/>
  <c r="I21" i="45"/>
  <c r="I11" i="45"/>
  <c r="I26" i="45" s="1"/>
  <c r="I36" i="45"/>
  <c r="G14" i="41"/>
  <c r="G19" i="45"/>
  <c r="G20" i="45"/>
  <c r="G22" i="45" s="1"/>
  <c r="H19" i="45"/>
  <c r="F19" i="45"/>
  <c r="G17" i="45"/>
  <c r="G11" i="45" s="1"/>
  <c r="F20" i="45"/>
  <c r="F22" i="45" s="1"/>
  <c r="H17" i="45"/>
  <c r="H20" i="45"/>
  <c r="D11" i="45"/>
  <c r="D25" i="45" s="1"/>
  <c r="D36" i="45"/>
  <c r="F11" i="45"/>
  <c r="C11" i="45"/>
  <c r="C26" i="45" s="1"/>
  <c r="E11" i="45"/>
  <c r="E22" i="45" s="1"/>
  <c r="D21" i="45"/>
  <c r="D20" i="45"/>
  <c r="D19" i="45"/>
  <c r="H14" i="41"/>
  <c r="C36" i="45"/>
  <c r="C21" i="45"/>
  <c r="E36" i="45"/>
  <c r="E21" i="45"/>
  <c r="E23" i="45" s="1"/>
  <c r="F36" i="45"/>
  <c r="F21" i="45"/>
  <c r="I14" i="41"/>
  <c r="E30" i="45"/>
  <c r="E28" i="45"/>
  <c r="G28" i="45"/>
  <c r="G30" i="45"/>
  <c r="G31" i="45" s="1"/>
  <c r="C30" i="45"/>
  <c r="D14" i="41"/>
  <c r="F14" i="41"/>
  <c r="F23" i="45" l="1"/>
  <c r="D23" i="45"/>
  <c r="I23" i="45"/>
  <c r="I22" i="45"/>
  <c r="D22" i="45"/>
  <c r="C23" i="45"/>
  <c r="C22" i="45"/>
  <c r="I25" i="45"/>
  <c r="H28" i="45"/>
  <c r="H30" i="45"/>
  <c r="H31" i="45" s="1"/>
  <c r="J30" i="45"/>
  <c r="J28" i="45"/>
  <c r="J11" i="45"/>
  <c r="J22" i="45" s="1"/>
  <c r="J36" i="45"/>
  <c r="J21" i="45"/>
  <c r="J23" i="45" s="1"/>
  <c r="I28" i="45"/>
  <c r="I29" i="45" s="1"/>
  <c r="I30" i="45"/>
  <c r="G21" i="45"/>
  <c r="G23" i="45" s="1"/>
  <c r="G36" i="45"/>
  <c r="H11" i="45"/>
  <c r="H25" i="45" s="1"/>
  <c r="H21" i="45"/>
  <c r="H36" i="45"/>
  <c r="D26" i="45"/>
  <c r="E25" i="45"/>
  <c r="E26" i="45"/>
  <c r="F25" i="45"/>
  <c r="F26" i="45"/>
  <c r="G25" i="45"/>
  <c r="G26" i="45"/>
  <c r="C29" i="45"/>
  <c r="C25" i="45"/>
  <c r="E29" i="45"/>
  <c r="G29" i="45"/>
  <c r="F28" i="45"/>
  <c r="F30" i="45"/>
  <c r="E31" i="45"/>
  <c r="E32" i="45"/>
  <c r="C32" i="45"/>
  <c r="C31" i="45"/>
  <c r="D28" i="45"/>
  <c r="D30" i="45"/>
  <c r="G33" i="45"/>
  <c r="G32" i="45"/>
  <c r="H22" i="45" l="1"/>
  <c r="H23" i="45"/>
  <c r="H32" i="45"/>
  <c r="J29" i="45"/>
  <c r="J26" i="45"/>
  <c r="J25" i="45"/>
  <c r="J31" i="45"/>
  <c r="J33" i="45" s="1"/>
  <c r="J32" i="45"/>
  <c r="I32" i="45"/>
  <c r="I31" i="45"/>
  <c r="I33" i="45" s="1"/>
  <c r="I39" i="45" s="1"/>
  <c r="H33" i="45"/>
  <c r="H29" i="45"/>
  <c r="H26" i="45"/>
  <c r="D29" i="45"/>
  <c r="F29" i="45"/>
  <c r="E33" i="45"/>
  <c r="C33" i="45"/>
  <c r="F31" i="45"/>
  <c r="F32" i="45"/>
  <c r="D32" i="45"/>
  <c r="D31" i="45"/>
  <c r="G38" i="45"/>
  <c r="G44" i="45"/>
  <c r="G37" i="45"/>
  <c r="G42" i="45"/>
  <c r="G46" i="45" s="1"/>
  <c r="G43" i="45"/>
  <c r="I40" i="45" l="1"/>
  <c r="I66" i="45" s="1"/>
  <c r="I67" i="45" s="1"/>
  <c r="J38" i="45"/>
  <c r="J44" i="45"/>
  <c r="J48" i="45" s="1"/>
  <c r="J42" i="45"/>
  <c r="J46" i="45" s="1"/>
  <c r="J37" i="45"/>
  <c r="J43" i="45"/>
  <c r="J47" i="45" s="1"/>
  <c r="J40" i="45"/>
  <c r="J66" i="45" s="1"/>
  <c r="J67" i="45" s="1"/>
  <c r="J39" i="45"/>
  <c r="I44" i="45"/>
  <c r="I48" i="45" s="1"/>
  <c r="I54" i="45" s="1"/>
  <c r="I58" i="45" s="1"/>
  <c r="I43" i="45"/>
  <c r="I47" i="45" s="1"/>
  <c r="I53" i="45" s="1"/>
  <c r="I57" i="45" s="1"/>
  <c r="I38" i="45"/>
  <c r="I37" i="45"/>
  <c r="I42" i="45"/>
  <c r="I46" i="45" s="1"/>
  <c r="I52" i="45" s="1"/>
  <c r="I56" i="45" s="1"/>
  <c r="H39" i="45"/>
  <c r="H40" i="45"/>
  <c r="H66" i="45" s="1"/>
  <c r="H67" i="45" s="1"/>
  <c r="H44" i="45"/>
  <c r="H48" i="45" s="1"/>
  <c r="H43" i="45"/>
  <c r="H47" i="45" s="1"/>
  <c r="H38" i="45"/>
  <c r="H42" i="45"/>
  <c r="H46" i="45" s="1"/>
  <c r="H37" i="45"/>
  <c r="E38" i="45"/>
  <c r="C44" i="45"/>
  <c r="C48" i="45" s="1"/>
  <c r="C37" i="45"/>
  <c r="E37" i="45"/>
  <c r="C43" i="45"/>
  <c r="C47" i="45" s="1"/>
  <c r="C38" i="45"/>
  <c r="C39" i="45"/>
  <c r="E44" i="45"/>
  <c r="E48" i="45" s="1"/>
  <c r="C42" i="45"/>
  <c r="C46" i="45" s="1"/>
  <c r="C40" i="45"/>
  <c r="E40" i="45"/>
  <c r="E42" i="45"/>
  <c r="E46" i="45" s="1"/>
  <c r="E43" i="45"/>
  <c r="E47" i="45" s="1"/>
  <c r="E39" i="45"/>
  <c r="F33" i="45"/>
  <c r="D33" i="45"/>
  <c r="G48" i="45"/>
  <c r="G47" i="45"/>
  <c r="G40" i="45"/>
  <c r="G39" i="45"/>
  <c r="J52" i="45" l="1"/>
  <c r="J56" i="45" s="1"/>
  <c r="J54" i="45"/>
  <c r="J58" i="45" s="1"/>
  <c r="J53" i="45"/>
  <c r="J57" i="45" s="1"/>
  <c r="H54" i="45"/>
  <c r="H58" i="45" s="1"/>
  <c r="H52" i="45"/>
  <c r="H56" i="45" s="1"/>
  <c r="H53" i="45"/>
  <c r="H57" i="45" s="1"/>
  <c r="F42" i="45"/>
  <c r="F46" i="45" s="1"/>
  <c r="D37" i="45"/>
  <c r="E53" i="45"/>
  <c r="E57" i="45" s="1"/>
  <c r="E66" i="45"/>
  <c r="E67" i="45" s="1"/>
  <c r="E52" i="45"/>
  <c r="E56" i="45" s="1"/>
  <c r="F37" i="45"/>
  <c r="E54" i="45"/>
  <c r="E58" i="45" s="1"/>
  <c r="F39" i="45"/>
  <c r="F40" i="45"/>
  <c r="C54" i="45"/>
  <c r="C58" i="45" s="1"/>
  <c r="F44" i="45"/>
  <c r="F48" i="45" s="1"/>
  <c r="F43" i="45"/>
  <c r="F47" i="45" s="1"/>
  <c r="F38" i="45"/>
  <c r="C52" i="45"/>
  <c r="C56" i="45" s="1"/>
  <c r="C66" i="45"/>
  <c r="C67" i="45" s="1"/>
  <c r="C53" i="45"/>
  <c r="C57" i="45" s="1"/>
  <c r="F66" i="45"/>
  <c r="F67" i="45" s="1"/>
  <c r="D44" i="45"/>
  <c r="D48" i="45" s="1"/>
  <c r="D42" i="45"/>
  <c r="D46" i="45" s="1"/>
  <c r="D40" i="45"/>
  <c r="D38" i="45"/>
  <c r="D39" i="45"/>
  <c r="D43" i="45"/>
  <c r="D47" i="45" s="1"/>
  <c r="G66" i="45"/>
  <c r="G67" i="45" s="1"/>
  <c r="G52" i="45"/>
  <c r="G56" i="45" s="1"/>
  <c r="G54" i="45"/>
  <c r="G58" i="45" s="1"/>
  <c r="G53" i="45"/>
  <c r="G57" i="45" s="1"/>
  <c r="D53" i="45" l="1"/>
  <c r="D57" i="45" s="1"/>
  <c r="F52" i="45"/>
  <c r="F56" i="45" s="1"/>
  <c r="F53" i="45"/>
  <c r="F57" i="45" s="1"/>
  <c r="F54" i="45"/>
  <c r="F58" i="45" s="1"/>
  <c r="D66" i="45"/>
  <c r="D67" i="45" s="1"/>
  <c r="D54" i="45"/>
  <c r="D58" i="45" s="1"/>
  <c r="D52" i="45"/>
  <c r="D56" i="45" s="1"/>
</calcChain>
</file>

<file path=xl/comments1.xml><?xml version="1.0" encoding="utf-8"?>
<comments xmlns="http://schemas.openxmlformats.org/spreadsheetml/2006/main">
  <authors>
    <author>juschka</author>
  </authors>
  <commentList>
    <comment ref="A1" authorId="0" shapeId="0">
      <text>
        <r>
          <rPr>
            <b/>
            <sz val="9"/>
            <color indexed="81"/>
            <rFont val="Segoe UI"/>
            <family val="2"/>
          </rPr>
          <t>Information:
Orangene Felder zum ausfüllen
Grüne Felder werden berechnet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C1" authorId="0" shapeId="0">
      <text>
        <r>
          <rPr>
            <b/>
            <sz val="9"/>
            <color indexed="81"/>
            <rFont val="Segoe UI"/>
            <family val="2"/>
          </rPr>
          <t>Information:</t>
        </r>
        <r>
          <rPr>
            <sz val="9"/>
            <color indexed="81"/>
            <rFont val="Segoe UI"/>
            <family val="2"/>
          </rPr>
          <t xml:space="preserve">
Zum Kopieren die Spalte C markieren und mit der Maus i n die obere rechte Ecke bewegen, bis der Zeiger zu einem schwarzen Kreuz wird. Dann mit der linken Maustaste die Spalte nach rechts kopieren.</t>
        </r>
      </text>
    </comment>
  </commentList>
</comments>
</file>

<file path=xl/comments2.xml><?xml version="1.0" encoding="utf-8"?>
<comments xmlns="http://schemas.openxmlformats.org/spreadsheetml/2006/main">
  <authors>
    <author>juschka</author>
  </authors>
  <commentList>
    <comment ref="B30" authorId="0" shapeId="0">
      <text>
        <r>
          <rPr>
            <b/>
            <sz val="9"/>
            <color indexed="81"/>
            <rFont val="Tahoma"/>
            <family val="2"/>
          </rPr>
          <t>Berechnung nach Roland Aeckersberg,
Analyse des Ascheschmelzverhaltens von Holzpellets in Abhängigkeit ausgewählter Aschekomponenten;
Schriftenreihe zur Aufbereitung und Veredelung Nr.41;
Shaker Verlag Gmbh, Aachen 2011
ET=1.392,381+1,664*Na-3,201*K-34,663*Mg+7,774*Ca+2,079*Fe-17,943*Si</t>
        </r>
      </text>
    </comment>
    <comment ref="B31" authorId="0" shapeId="0">
      <text>
        <r>
          <rPr>
            <b/>
            <sz val="9"/>
            <color indexed="81"/>
            <rFont val="Tahoma"/>
            <family val="2"/>
          </rPr>
          <t>Berechnung nach Roland Aeckersberg,
Analyse des Ascheschmelzverhaltens von Holzpellets in Abhängigkeit ausgewählter Aschekomponenten;
Schriftenreihe zur Aufbereitung und Veredelung Nr.41;
Shaker Verlag Gmbh, Aachen 2011
ET=1.682,810+23,081*Na-1,383*K-36,725*Mg+9,112*Ca+5,523*Fe-37,180*Si</t>
        </r>
      </text>
    </comment>
  </commentList>
</comments>
</file>

<file path=xl/comments3.xml><?xml version="1.0" encoding="utf-8"?>
<comments xmlns="http://schemas.openxmlformats.org/spreadsheetml/2006/main">
  <authors>
    <author>juschka</author>
    <author>Winfried Juschka</author>
  </authors>
  <commentList>
    <comment ref="B4" authorId="0" shapeId="0">
      <text>
        <r>
          <rPr>
            <sz val="9"/>
            <color indexed="81"/>
            <rFont val="Tahoma"/>
            <family val="2"/>
          </rPr>
          <t>Quelle:
FDBR-Handbuch
Ausgabe Januar 2007</t>
        </r>
      </text>
    </comment>
    <comment ref="B5" authorId="0" shapeId="0">
      <text>
        <r>
          <rPr>
            <sz val="9"/>
            <color indexed="81"/>
            <rFont val="Tahoma"/>
            <family val="2"/>
          </rPr>
          <t>Quelle:
FDBR-Handbuch
Ausgabe Januar 2007</t>
        </r>
      </text>
    </comment>
    <comment ref="B7" authorId="0" shapeId="0">
      <text>
        <r>
          <rPr>
            <sz val="9"/>
            <color indexed="81"/>
            <rFont val="Tahoma"/>
            <family val="2"/>
          </rPr>
          <t>Quelle:
FDBR-Handbuch
Ausgabe Januar 2007</t>
        </r>
      </text>
    </comment>
    <comment ref="B8" authorId="0" shapeId="0">
      <text>
        <r>
          <rPr>
            <sz val="9"/>
            <color indexed="81"/>
            <rFont val="Tahoma"/>
            <family val="2"/>
          </rPr>
          <t>Quelle:
FDBR-Handbuch
Ausgabe Januar 2007</t>
        </r>
      </text>
    </comment>
    <comment ref="B9" authorId="0" shapeId="0">
      <text>
        <r>
          <rPr>
            <sz val="9"/>
            <color indexed="81"/>
            <rFont val="Tahoma"/>
            <family val="2"/>
          </rPr>
          <t>Quelle:
http://physics.nist.gov/cgi-bin/cuu/Value?mvolstd</t>
        </r>
      </text>
    </comment>
    <comment ref="B13" authorId="0" shapeId="0">
      <text>
        <r>
          <rPr>
            <sz val="9"/>
            <color indexed="81"/>
            <rFont val="Segoe UI"/>
            <family val="2"/>
          </rPr>
          <t>Brennstoffspezifische Parameter nach Ö-Norm M 7510-4</t>
        </r>
      </text>
    </comment>
    <comment ref="C13" authorId="0" shapeId="0">
      <text>
        <r>
          <rPr>
            <sz val="9"/>
            <color indexed="81"/>
            <rFont val="Segoe UI"/>
            <family val="2"/>
          </rPr>
          <t>Brennstoffspezifische Parameter nach Ö-Norm M 7510-4</t>
        </r>
      </text>
    </comment>
    <comment ref="D13" authorId="0" shapeId="0">
      <text>
        <r>
          <rPr>
            <sz val="9"/>
            <color indexed="81"/>
            <rFont val="Segoe UI"/>
            <family val="2"/>
          </rPr>
          <t>Brennstoffspezifische Parameter nach Ö-Norm M 7510-4</t>
        </r>
      </text>
    </comment>
    <comment ref="E13" authorId="0" shapeId="0">
      <text>
        <r>
          <rPr>
            <sz val="9"/>
            <color indexed="81"/>
            <rFont val="Segoe UI"/>
            <family val="2"/>
          </rPr>
          <t>Brennstoffspezifische Parameter nach Ö-Norm M 7510-4</t>
        </r>
      </text>
    </comment>
    <comment ref="F13" authorId="0" shapeId="0">
      <text>
        <r>
          <rPr>
            <sz val="9"/>
            <color indexed="81"/>
            <rFont val="Segoe UI"/>
            <family val="2"/>
          </rPr>
          <t>Brennstoffspezifische Parameter nach Ö-Norm M 7510-4</t>
        </r>
      </text>
    </comment>
    <comment ref="G13" authorId="0" shapeId="0">
      <text>
        <r>
          <rPr>
            <sz val="9"/>
            <color indexed="81"/>
            <rFont val="Segoe UI"/>
            <family val="2"/>
          </rPr>
          <t>Brennstoffspezifische Parameter nach Ö-Norm M 7510-4</t>
        </r>
      </text>
    </comment>
    <comment ref="H13" authorId="0" shapeId="0">
      <text>
        <r>
          <rPr>
            <sz val="9"/>
            <color indexed="81"/>
            <rFont val="Segoe UI"/>
            <family val="2"/>
          </rPr>
          <t>Brennstoffspezifische Parameter nach Ö-Norm M 7510-4</t>
        </r>
      </text>
    </comment>
    <comment ref="I13" authorId="0" shapeId="0">
      <text>
        <r>
          <rPr>
            <sz val="9"/>
            <color indexed="81"/>
            <rFont val="Segoe UI"/>
            <family val="2"/>
          </rPr>
          <t>Brennstoffspezifische Parameter nach Ö-Norm M 7510-4</t>
        </r>
      </text>
    </comment>
    <comment ref="J13" authorId="0" shapeId="0">
      <text>
        <r>
          <rPr>
            <sz val="9"/>
            <color indexed="81"/>
            <rFont val="Segoe UI"/>
            <family val="2"/>
          </rPr>
          <t>Brennstoffspezifische Parameter nach Ö-Norm M 7510-4</t>
        </r>
      </text>
    </comment>
    <comment ref="K13" authorId="0" shapeId="0">
      <text>
        <r>
          <rPr>
            <sz val="9"/>
            <color indexed="81"/>
            <rFont val="Segoe UI"/>
            <family val="2"/>
          </rPr>
          <t>Brennstoffspezifische Parameter nach Ö-Norm M 7510-4</t>
        </r>
      </text>
    </comment>
    <comment ref="L13" authorId="0" shapeId="0">
      <text>
        <r>
          <rPr>
            <sz val="9"/>
            <color indexed="81"/>
            <rFont val="Segoe UI"/>
            <family val="2"/>
          </rPr>
          <t>Brennstoffspezifische Parameter nach Ö-Norm M 7510-4</t>
        </r>
      </text>
    </comment>
    <comment ref="M13" authorId="0" shapeId="0">
      <text>
        <r>
          <rPr>
            <sz val="9"/>
            <color indexed="81"/>
            <rFont val="Segoe UI"/>
            <family val="2"/>
          </rPr>
          <t>Brennstoffspezifische Parameter nach Ö-Norm M 7510-4</t>
        </r>
      </text>
    </comment>
    <comment ref="N13" authorId="0" shapeId="0">
      <text>
        <r>
          <rPr>
            <sz val="9"/>
            <color indexed="81"/>
            <rFont val="Segoe UI"/>
            <family val="2"/>
          </rPr>
          <t>Brennstoffspezifische Parameter nach Ö-Norm M 7510-4</t>
        </r>
      </text>
    </comment>
    <comment ref="O13" authorId="0" shapeId="0">
      <text>
        <r>
          <rPr>
            <sz val="9"/>
            <color indexed="81"/>
            <rFont val="Segoe UI"/>
            <family val="2"/>
          </rPr>
          <t>Brennstoffspezifische Parameter nach Ö-Norm M 7510-4</t>
        </r>
      </text>
    </comment>
    <comment ref="P13" authorId="0" shapeId="0">
      <text>
        <r>
          <rPr>
            <sz val="9"/>
            <color indexed="81"/>
            <rFont val="Segoe UI"/>
            <family val="2"/>
          </rPr>
          <t>Brennstoffspezifische Parameter nach Ö-Norm M 7510-4</t>
        </r>
      </text>
    </comment>
    <comment ref="Q13" authorId="0" shapeId="0">
      <text>
        <r>
          <rPr>
            <sz val="9"/>
            <color indexed="81"/>
            <rFont val="Segoe UI"/>
            <family val="2"/>
          </rPr>
          <t>Brennstoffspezifische Parameter nach Ö-Norm M 7510-4</t>
        </r>
      </text>
    </comment>
    <comment ref="C31" authorId="1" shapeId="0">
      <text>
        <r>
          <rPr>
            <b/>
            <sz val="9"/>
            <color indexed="81"/>
            <rFont val="Segoe UI"/>
            <charset val="1"/>
          </rPr>
          <t>Winfried Juschka:</t>
        </r>
        <r>
          <rPr>
            <sz val="9"/>
            <color indexed="81"/>
            <rFont val="Segoe UI"/>
            <charset val="1"/>
          </rPr>
          <t xml:space="preserve">
Verdampungsenthalpie</t>
        </r>
      </text>
    </comment>
    <comment ref="B120" authorId="1" shapeId="0">
      <text>
        <r>
          <rPr>
            <b/>
            <sz val="9"/>
            <color indexed="81"/>
            <rFont val="Segoe UI"/>
            <family val="2"/>
          </rPr>
          <t>DIN 51767:</t>
        </r>
        <r>
          <rPr>
            <sz val="9"/>
            <color indexed="81"/>
            <rFont val="Segoe UI"/>
            <family val="2"/>
          </rPr>
          <t xml:space="preserve">
Dichte bei 15°C max 860 kg/m³</t>
        </r>
      </text>
    </comment>
    <comment ref="B121" authorId="1" shapeId="0">
      <text>
        <r>
          <rPr>
            <b/>
            <sz val="9"/>
            <color indexed="81"/>
            <rFont val="Segoe UI"/>
            <family val="2"/>
          </rPr>
          <t xml:space="preserve">Quelle: Erdgas - Zahlen, Daten, Fakten: Herausgeber BDEW Bundesverband der Energie- und Wasserwirtschaft e.V., Berlin, Dez. 2019 </t>
        </r>
        <r>
          <rPr>
            <sz val="9"/>
            <color indexed="81"/>
            <rFont val="Segoe UI"/>
            <family val="2"/>
          </rPr>
          <t xml:space="preserve">
Dichte bei 15°C 0,79 kg/m³</t>
        </r>
      </text>
    </comment>
    <comment ref="B122" authorId="1" shapeId="0">
      <text>
        <r>
          <rPr>
            <b/>
            <sz val="9"/>
            <color indexed="81"/>
            <rFont val="Segoe UI"/>
            <family val="2"/>
          </rPr>
          <t>Quelle: Struschka et al. 2016 - Emissionen Flüssiggasfeuerung</t>
        </r>
        <r>
          <rPr>
            <sz val="9"/>
            <color indexed="81"/>
            <rFont val="Segoe UI"/>
            <family val="2"/>
          </rPr>
          <t xml:space="preserve">
Dichte bei 15°C 2,007 kg/m³</t>
        </r>
      </text>
    </comment>
  </commentList>
</comments>
</file>

<file path=xl/sharedStrings.xml><?xml version="1.0" encoding="utf-8"?>
<sst xmlns="http://schemas.openxmlformats.org/spreadsheetml/2006/main" count="550" uniqueCount="320">
  <si>
    <t>Bemerkung</t>
  </si>
  <si>
    <t>Analysen-
datum</t>
  </si>
  <si>
    <t>Analysen-
befund Nr.</t>
  </si>
  <si>
    <t>C</t>
  </si>
  <si>
    <t>H</t>
  </si>
  <si>
    <t>S</t>
  </si>
  <si>
    <t>N</t>
  </si>
  <si>
    <t>Summe</t>
  </si>
  <si>
    <t>O</t>
  </si>
  <si>
    <t>g</t>
  </si>
  <si>
    <t>Proben-
herkunft</t>
  </si>
  <si>
    <t>%</t>
  </si>
  <si>
    <t>kJ/kg</t>
  </si>
  <si>
    <t>°C</t>
  </si>
  <si>
    <t>Magnesiumoxid (MgO)</t>
  </si>
  <si>
    <t>Mangan (Mn)</t>
  </si>
  <si>
    <t>Brennwert (Hs) -wf-</t>
  </si>
  <si>
    <t xml:space="preserve">Heizwert (Hi) -wf- </t>
  </si>
  <si>
    <t>biogen</t>
  </si>
  <si>
    <t>Brennwert (Hs) -roh-</t>
  </si>
  <si>
    <t xml:space="preserve">Heizwert (Hi) -roh- </t>
  </si>
  <si>
    <t>Wassergehalt -roh-</t>
  </si>
  <si>
    <t>Molares Volumen</t>
  </si>
  <si>
    <r>
      <t>H</t>
    </r>
    <r>
      <rPr>
        <vertAlign val="subscript"/>
        <sz val="10"/>
        <rFont val="Arial"/>
        <family val="2"/>
      </rPr>
      <t>2</t>
    </r>
  </si>
  <si>
    <r>
      <t>O</t>
    </r>
    <r>
      <rPr>
        <vertAlign val="subscript"/>
        <sz val="10"/>
        <rFont val="Arial"/>
        <family val="2"/>
      </rPr>
      <t>2</t>
    </r>
  </si>
  <si>
    <r>
      <t>N</t>
    </r>
    <r>
      <rPr>
        <vertAlign val="subscript"/>
        <sz val="10"/>
        <rFont val="Arial"/>
        <family val="2"/>
      </rPr>
      <t>2</t>
    </r>
  </si>
  <si>
    <r>
      <t>H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>O</t>
    </r>
  </si>
  <si>
    <r>
      <t>CH</t>
    </r>
    <r>
      <rPr>
        <vertAlign val="subscript"/>
        <sz val="10"/>
        <rFont val="Arial"/>
        <family val="2"/>
      </rPr>
      <t>4</t>
    </r>
  </si>
  <si>
    <t>CO</t>
  </si>
  <si>
    <t>Luft</t>
  </si>
  <si>
    <r>
      <t>C</t>
    </r>
    <r>
      <rPr>
        <vertAlign val="subscript"/>
        <sz val="10"/>
        <rFont val="Arial"/>
        <family val="2"/>
      </rPr>
      <t>3</t>
    </r>
    <r>
      <rPr>
        <sz val="10"/>
        <rFont val="Arial"/>
        <family val="2"/>
      </rPr>
      <t>H</t>
    </r>
    <r>
      <rPr>
        <vertAlign val="subscript"/>
        <sz val="10"/>
        <rFont val="Arial"/>
        <family val="2"/>
      </rPr>
      <t>8</t>
    </r>
  </si>
  <si>
    <t>Nullpunkt T</t>
  </si>
  <si>
    <t>[K]</t>
  </si>
  <si>
    <t>Normdruck</t>
  </si>
  <si>
    <t>[bar]</t>
  </si>
  <si>
    <r>
      <t>CO</t>
    </r>
    <r>
      <rPr>
        <vertAlign val="subscript"/>
        <sz val="10"/>
        <rFont val="Arial"/>
        <family val="2"/>
      </rPr>
      <t>2</t>
    </r>
  </si>
  <si>
    <r>
      <t>NO</t>
    </r>
    <r>
      <rPr>
        <vertAlign val="subscript"/>
        <sz val="10"/>
        <rFont val="Arial"/>
        <family val="2"/>
      </rPr>
      <t>2</t>
    </r>
  </si>
  <si>
    <r>
      <t>NO</t>
    </r>
    <r>
      <rPr>
        <vertAlign val="subscript"/>
        <sz val="10"/>
        <rFont val="Arial"/>
        <family val="2"/>
      </rPr>
      <t>x</t>
    </r>
    <r>
      <rPr>
        <sz val="10"/>
        <rFont val="Arial"/>
        <family val="2"/>
      </rPr>
      <t xml:space="preserve"> als NO</t>
    </r>
    <r>
      <rPr>
        <vertAlign val="subscript"/>
        <sz val="10"/>
        <rFont val="Arial"/>
        <family val="2"/>
      </rPr>
      <t>2</t>
    </r>
  </si>
  <si>
    <t>Cl</t>
  </si>
  <si>
    <t>Na</t>
  </si>
  <si>
    <t>K</t>
  </si>
  <si>
    <t>Mg</t>
  </si>
  <si>
    <t>Ca</t>
  </si>
  <si>
    <t>Fe</t>
  </si>
  <si>
    <t>Si</t>
  </si>
  <si>
    <t>Umrechnungsfaktor f*ppm = 1 mg/m³</t>
  </si>
  <si>
    <t>Umrechnung Oxide in Elemente</t>
  </si>
  <si>
    <t>Al</t>
  </si>
  <si>
    <t>Aluminium (Al)</t>
  </si>
  <si>
    <t>Eisen (Fe)</t>
  </si>
  <si>
    <t>Kalium (K)</t>
  </si>
  <si>
    <t>Magnesium (Mg)</t>
  </si>
  <si>
    <t>Natrium (Na)</t>
  </si>
  <si>
    <t>Silizium (Si)</t>
  </si>
  <si>
    <t>Titan (Ti)</t>
  </si>
  <si>
    <t>Ba</t>
  </si>
  <si>
    <t>P</t>
  </si>
  <si>
    <t>Sr</t>
  </si>
  <si>
    <t>Ti</t>
  </si>
  <si>
    <t>Mn</t>
  </si>
  <si>
    <r>
      <t>C</t>
    </r>
    <r>
      <rPr>
        <vertAlign val="subscript"/>
        <sz val="10"/>
        <rFont val="Arial"/>
        <family val="2"/>
      </rPr>
      <t>4</t>
    </r>
    <r>
      <rPr>
        <sz val="10"/>
        <rFont val="Arial"/>
        <family val="2"/>
      </rPr>
      <t>H</t>
    </r>
    <r>
      <rPr>
        <vertAlign val="subscript"/>
        <sz val="10"/>
        <rFont val="Arial"/>
        <family val="2"/>
      </rPr>
      <t>10</t>
    </r>
  </si>
  <si>
    <t>MgO  in Mg</t>
  </si>
  <si>
    <t>CaO  in Ca</t>
  </si>
  <si>
    <r>
      <t>SO</t>
    </r>
    <r>
      <rPr>
        <vertAlign val="subscript"/>
        <sz val="10"/>
        <rFont val="Arial"/>
        <family val="2"/>
      </rPr>
      <t>2</t>
    </r>
  </si>
  <si>
    <r>
      <t>H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>SO</t>
    </r>
    <r>
      <rPr>
        <vertAlign val="subscript"/>
        <sz val="10"/>
        <rFont val="Arial"/>
        <family val="2"/>
      </rPr>
      <t>4</t>
    </r>
  </si>
  <si>
    <t>Faktor Berechnung FT nach Roland Aeckersberg</t>
  </si>
  <si>
    <t>Molare Masse</t>
  </si>
  <si>
    <t>NO</t>
  </si>
  <si>
    <r>
      <t>SO</t>
    </r>
    <r>
      <rPr>
        <vertAlign val="subscript"/>
        <sz val="10"/>
        <rFont val="Arial"/>
        <family val="2"/>
      </rPr>
      <t>3</t>
    </r>
    <r>
      <rPr>
        <sz val="11"/>
        <color indexed="8"/>
        <rFont val="Calibri"/>
        <family val="2"/>
      </rPr>
      <t/>
    </r>
  </si>
  <si>
    <t>A2</t>
  </si>
  <si>
    <t>B2</t>
  </si>
  <si>
    <r>
      <t>Wasser (H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>O)</t>
    </r>
  </si>
  <si>
    <t>Umrechnungsfaktor</t>
  </si>
  <si>
    <t>[mol/mol]</t>
  </si>
  <si>
    <t>flüchtige Stoffe</t>
  </si>
  <si>
    <t>Fixed C</t>
  </si>
  <si>
    <t>Wasser (H2O)</t>
  </si>
  <si>
    <t>Kohlenstoff (C)</t>
  </si>
  <si>
    <t>organ. Wasserstoff (H)</t>
  </si>
  <si>
    <t>Sauerstoff (O)</t>
  </si>
  <si>
    <t>Stickstoff (N)</t>
  </si>
  <si>
    <t>Schwefel (S)</t>
  </si>
  <si>
    <t>Chlor (Cl)</t>
  </si>
  <si>
    <t>Asche (A) 550°C</t>
  </si>
  <si>
    <t>mg/m³</t>
  </si>
  <si>
    <t>HCL</t>
  </si>
  <si>
    <t>Sauerstoffvolumenanteil der Luft</t>
  </si>
  <si>
    <t>Stickstoffvolumenanteil der Luft</t>
  </si>
  <si>
    <t>Restvolumenanteil der Luft</t>
  </si>
  <si>
    <t>Sauerstoffmassenanteil der Luft</t>
  </si>
  <si>
    <t>[kg/kg]</t>
  </si>
  <si>
    <t>Stickstoffvmassenanteil der Luft</t>
  </si>
  <si>
    <t>Restmassenanteil der Luft</t>
  </si>
  <si>
    <t>[m³/mol]</t>
  </si>
  <si>
    <r>
      <t>spez. Stickstoffanteil pro mol O</t>
    </r>
    <r>
      <rPr>
        <vertAlign val="subscript"/>
        <sz val="10"/>
        <rFont val="Arial"/>
        <family val="2"/>
      </rPr>
      <t>2</t>
    </r>
  </si>
  <si>
    <r>
      <t>[mol N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>/mol O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>]</t>
    </r>
  </si>
  <si>
    <r>
      <t>spez. Luftanteil pro mol O</t>
    </r>
    <r>
      <rPr>
        <vertAlign val="subscript"/>
        <sz val="10"/>
        <rFont val="Arial"/>
        <family val="2"/>
      </rPr>
      <t>2</t>
    </r>
  </si>
  <si>
    <r>
      <t>[mol Luft/mol O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>]</t>
    </r>
  </si>
  <si>
    <t>g/mol</t>
  </si>
  <si>
    <r>
      <t>SO</t>
    </r>
    <r>
      <rPr>
        <vertAlign val="subscript"/>
        <sz val="10"/>
        <rFont val="Arial"/>
        <family val="2"/>
      </rPr>
      <t>4</t>
    </r>
  </si>
  <si>
    <r>
      <t>SO</t>
    </r>
    <r>
      <rPr>
        <vertAlign val="subscript"/>
        <sz val="10"/>
        <rFont val="Arial"/>
        <family val="2"/>
      </rPr>
      <t>4</t>
    </r>
    <r>
      <rPr>
        <vertAlign val="superscript"/>
        <sz val="10"/>
        <rFont val="Arial"/>
        <family val="2"/>
      </rPr>
      <t>-2</t>
    </r>
  </si>
  <si>
    <r>
      <t>C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>H</t>
    </r>
    <r>
      <rPr>
        <vertAlign val="subscript"/>
        <sz val="10"/>
        <rFont val="Arial"/>
        <family val="2"/>
      </rPr>
      <t>6</t>
    </r>
  </si>
  <si>
    <r>
      <t>C</t>
    </r>
    <r>
      <rPr>
        <vertAlign val="subscript"/>
        <sz val="10"/>
        <rFont val="Arial"/>
        <family val="2"/>
      </rPr>
      <t>3</t>
    </r>
    <r>
      <rPr>
        <sz val="10"/>
        <rFont val="Arial"/>
        <family val="2"/>
      </rPr>
      <t>H</t>
    </r>
    <r>
      <rPr>
        <vertAlign val="subscript"/>
        <sz val="10"/>
        <rFont val="Arial"/>
        <family val="2"/>
      </rPr>
      <t>6</t>
    </r>
  </si>
  <si>
    <r>
      <t>Na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>O</t>
    </r>
  </si>
  <si>
    <r>
      <t>SiO</t>
    </r>
    <r>
      <rPr>
        <vertAlign val="subscript"/>
        <sz val="10"/>
        <rFont val="Arial"/>
        <family val="2"/>
      </rPr>
      <t>2</t>
    </r>
  </si>
  <si>
    <r>
      <t>VOC als Methan (C</t>
    </r>
    <r>
      <rPr>
        <vertAlign val="subscript"/>
        <sz val="10"/>
        <rFont val="Arial"/>
        <family val="2"/>
      </rPr>
      <t>1</t>
    </r>
    <r>
      <rPr>
        <sz val="10"/>
        <rFont val="Arial"/>
        <family val="2"/>
      </rPr>
      <t>)</t>
    </r>
  </si>
  <si>
    <r>
      <t>VOC als Propan (C</t>
    </r>
    <r>
      <rPr>
        <vertAlign val="subscript"/>
        <sz val="10"/>
        <rFont val="Arial"/>
        <family val="2"/>
      </rPr>
      <t>3</t>
    </r>
    <r>
      <rPr>
        <sz val="10"/>
        <rFont val="Arial"/>
        <family val="2"/>
      </rPr>
      <t>)</t>
    </r>
  </si>
  <si>
    <t>SOx als SO2</t>
  </si>
  <si>
    <t>Proben 
datum</t>
  </si>
  <si>
    <t>Massenkonzentration Wasser</t>
  </si>
  <si>
    <t>Brennstoffart
biogen, BKB, SK</t>
  </si>
  <si>
    <t>Laboranalyse -an- 
analysenfeucht</t>
  </si>
  <si>
    <t>Bestimmung Wassergehalt -roh-
wie verfeuert
DIN EN ISO 18135 Blatt 1 u. 2</t>
  </si>
  <si>
    <t>Hauptelemente
DIN EN ISO 16967:2015-07 Teil B
(aus Asche nach DIN EN ISO 18122 - 550°C)</t>
  </si>
  <si>
    <r>
      <t>Aluminiumoxid (Al</t>
    </r>
    <r>
      <rPr>
        <b/>
        <vertAlign val="subscript"/>
        <sz val="11"/>
        <rFont val="Arial"/>
        <family val="2"/>
      </rPr>
      <t>2</t>
    </r>
    <r>
      <rPr>
        <b/>
        <sz val="11"/>
        <rFont val="Arial"/>
        <family val="2"/>
      </rPr>
      <t>O</t>
    </r>
    <r>
      <rPr>
        <b/>
        <vertAlign val="subscript"/>
        <sz val="11"/>
        <rFont val="Arial"/>
        <family val="2"/>
      </rPr>
      <t>3</t>
    </r>
    <r>
      <rPr>
        <b/>
        <sz val="11"/>
        <rFont val="Arial"/>
        <family val="2"/>
      </rPr>
      <t>)</t>
    </r>
  </si>
  <si>
    <r>
      <t>Eisen(III)-oxid (Fe</t>
    </r>
    <r>
      <rPr>
        <b/>
        <vertAlign val="subscript"/>
        <sz val="11"/>
        <rFont val="Arial"/>
        <family val="2"/>
      </rPr>
      <t>2</t>
    </r>
    <r>
      <rPr>
        <b/>
        <sz val="11"/>
        <rFont val="Arial"/>
        <family val="2"/>
      </rPr>
      <t>O</t>
    </r>
    <r>
      <rPr>
        <b/>
        <vertAlign val="subscript"/>
        <sz val="11"/>
        <rFont val="Arial"/>
        <family val="2"/>
      </rPr>
      <t>3</t>
    </r>
    <r>
      <rPr>
        <b/>
        <sz val="11"/>
        <rFont val="Arial"/>
        <family val="2"/>
      </rPr>
      <t>)</t>
    </r>
  </si>
  <si>
    <r>
      <t>Phosphorpentoxid (P</t>
    </r>
    <r>
      <rPr>
        <b/>
        <vertAlign val="subscript"/>
        <sz val="11"/>
        <rFont val="Arial"/>
        <family val="2"/>
      </rPr>
      <t>2</t>
    </r>
    <r>
      <rPr>
        <b/>
        <sz val="11"/>
        <rFont val="Arial"/>
        <family val="2"/>
      </rPr>
      <t>O</t>
    </r>
    <r>
      <rPr>
        <b/>
        <vertAlign val="subscript"/>
        <sz val="11"/>
        <rFont val="Arial"/>
        <family val="2"/>
      </rPr>
      <t>5</t>
    </r>
    <r>
      <rPr>
        <b/>
        <sz val="11"/>
        <rFont val="Arial"/>
        <family val="2"/>
      </rPr>
      <t>)</t>
    </r>
  </si>
  <si>
    <r>
      <t>Kaliumoxid (K</t>
    </r>
    <r>
      <rPr>
        <b/>
        <vertAlign val="subscript"/>
        <sz val="11"/>
        <rFont val="Arial"/>
        <family val="2"/>
      </rPr>
      <t>2</t>
    </r>
    <r>
      <rPr>
        <b/>
        <sz val="11"/>
        <rFont val="Arial"/>
        <family val="2"/>
      </rPr>
      <t>O)</t>
    </r>
  </si>
  <si>
    <r>
      <t>Siliziumoxid (SiO</t>
    </r>
    <r>
      <rPr>
        <b/>
        <vertAlign val="subscript"/>
        <sz val="11"/>
        <rFont val="Arial"/>
        <family val="2"/>
      </rPr>
      <t>2</t>
    </r>
    <r>
      <rPr>
        <b/>
        <sz val="11"/>
        <rFont val="Arial"/>
        <family val="2"/>
      </rPr>
      <t>)</t>
    </r>
  </si>
  <si>
    <r>
      <t>Natriumoxid (Na</t>
    </r>
    <r>
      <rPr>
        <b/>
        <vertAlign val="subscript"/>
        <sz val="11"/>
        <rFont val="Arial"/>
        <family val="2"/>
      </rPr>
      <t>2</t>
    </r>
    <r>
      <rPr>
        <b/>
        <sz val="11"/>
        <rFont val="Arial"/>
        <family val="2"/>
      </rPr>
      <t>O)</t>
    </r>
  </si>
  <si>
    <r>
      <t>Titandioxid (TiO</t>
    </r>
    <r>
      <rPr>
        <b/>
        <vertAlign val="subscript"/>
        <sz val="11"/>
        <rFont val="Arial"/>
        <family val="2"/>
      </rPr>
      <t>2</t>
    </r>
    <r>
      <rPr>
        <b/>
        <sz val="11"/>
        <rFont val="Arial"/>
        <family val="2"/>
      </rPr>
      <t>)</t>
    </r>
  </si>
  <si>
    <t>Spurenelemente
DIN EN ISO 16968:2015-09
(Probenherstellung nach DIN EN ISO 14780)</t>
  </si>
  <si>
    <t>Arsen (As)</t>
  </si>
  <si>
    <t>Cadmium (Cd)</t>
  </si>
  <si>
    <t>Quecksilber (Hg)</t>
  </si>
  <si>
    <t>Molydän (Mn)</t>
  </si>
  <si>
    <t>Nickel (Ni)</t>
  </si>
  <si>
    <t>Blei (Pb)</t>
  </si>
  <si>
    <t>Cobalt (Co)</t>
  </si>
  <si>
    <t>Chrom (Cr)</t>
  </si>
  <si>
    <t>Kupfer (Cu)</t>
  </si>
  <si>
    <t>Selen (Sn)</t>
  </si>
  <si>
    <t>Zinn (Sn)</t>
  </si>
  <si>
    <t>Vanadium (V)</t>
  </si>
  <si>
    <t>Zink (Zn)</t>
  </si>
  <si>
    <t>Antimon (Sb)</t>
  </si>
  <si>
    <t>Thallium (Tl)</t>
  </si>
  <si>
    <r>
      <t>Aluminium (Al</t>
    </r>
    <r>
      <rPr>
        <b/>
        <sz val="11"/>
        <rFont val="Arial"/>
        <family val="2"/>
      </rPr>
      <t>)</t>
    </r>
  </si>
  <si>
    <t>Calcium (Ca)</t>
  </si>
  <si>
    <t>Calciumoxid (CaO)</t>
  </si>
  <si>
    <r>
      <t>Eisen (Fe</t>
    </r>
    <r>
      <rPr>
        <b/>
        <sz val="11"/>
        <rFont val="Arial"/>
        <family val="2"/>
      </rPr>
      <t>)</t>
    </r>
  </si>
  <si>
    <t>Phosphor(P)</t>
  </si>
  <si>
    <r>
      <t>Kalium (K</t>
    </r>
    <r>
      <rPr>
        <b/>
        <sz val="11"/>
        <rFont val="Arial"/>
        <family val="2"/>
      </rPr>
      <t>)</t>
    </r>
  </si>
  <si>
    <r>
      <t>Silizium (Si</t>
    </r>
    <r>
      <rPr>
        <b/>
        <sz val="11"/>
        <rFont val="Arial"/>
        <family val="2"/>
      </rPr>
      <t>)</t>
    </r>
  </si>
  <si>
    <r>
      <t>Titan (Ti</t>
    </r>
    <r>
      <rPr>
        <b/>
        <sz val="11"/>
        <rFont val="Arial"/>
        <family val="2"/>
      </rPr>
      <t>)</t>
    </r>
  </si>
  <si>
    <r>
      <t>mg</t>
    </r>
    <r>
      <rPr>
        <vertAlign val="subscript"/>
        <sz val="11"/>
        <rFont val="Arial"/>
        <family val="2"/>
      </rPr>
      <t>i</t>
    </r>
    <r>
      <rPr>
        <sz val="11"/>
        <rFont val="Arial"/>
        <family val="2"/>
      </rPr>
      <t>/kg</t>
    </r>
    <r>
      <rPr>
        <vertAlign val="subscript"/>
        <sz val="11"/>
        <rFont val="Arial"/>
        <family val="2"/>
      </rPr>
      <t>A</t>
    </r>
    <r>
      <rPr>
        <sz val="11"/>
        <rFont val="Arial"/>
        <family val="2"/>
      </rPr>
      <t>*100</t>
    </r>
  </si>
  <si>
    <r>
      <t>kg</t>
    </r>
    <r>
      <rPr>
        <b/>
        <vertAlign val="subscript"/>
        <sz val="10"/>
        <rFont val="Arial"/>
        <family val="2"/>
      </rPr>
      <t>i</t>
    </r>
    <r>
      <rPr>
        <b/>
        <sz val="10"/>
        <rFont val="Arial"/>
        <family val="2"/>
      </rPr>
      <t>/kg</t>
    </r>
    <r>
      <rPr>
        <b/>
        <vertAlign val="subscript"/>
        <sz val="10"/>
        <rFont val="Arial"/>
        <family val="2"/>
      </rPr>
      <t>Br</t>
    </r>
    <r>
      <rPr>
        <b/>
        <sz val="10"/>
        <rFont val="Arial"/>
        <family val="2"/>
      </rPr>
      <t>*100</t>
    </r>
  </si>
  <si>
    <r>
      <t>kg</t>
    </r>
    <r>
      <rPr>
        <vertAlign val="subscript"/>
        <sz val="10"/>
        <rFont val="Arial"/>
        <family val="2"/>
      </rPr>
      <t>i</t>
    </r>
    <r>
      <rPr>
        <sz val="10"/>
        <rFont val="Arial"/>
        <family val="2"/>
      </rPr>
      <t>/kg</t>
    </r>
    <r>
      <rPr>
        <vertAlign val="subscript"/>
        <sz val="10"/>
        <rFont val="Arial"/>
        <family val="2"/>
      </rPr>
      <t>Br</t>
    </r>
    <r>
      <rPr>
        <sz val="10"/>
        <rFont val="Arial"/>
        <family val="2"/>
      </rPr>
      <t>*100</t>
    </r>
  </si>
  <si>
    <t>Sinterbeginn (SST)</t>
  </si>
  <si>
    <t>Halbkugeltemp. (HT)</t>
  </si>
  <si>
    <t>Fließtemp. (FT)</t>
  </si>
  <si>
    <t>Erweichungstemp (DT)</t>
  </si>
  <si>
    <r>
      <rPr>
        <b/>
        <sz val="11"/>
        <rFont val="Arial"/>
        <family val="2"/>
      </rPr>
      <t>Wasser (H</t>
    </r>
    <r>
      <rPr>
        <b/>
        <vertAlign val="subscript"/>
        <sz val="11"/>
        <rFont val="Arial"/>
        <family val="2"/>
      </rPr>
      <t>2</t>
    </r>
    <r>
      <rPr>
        <b/>
        <sz val="11"/>
        <rFont val="Arial"/>
        <family val="2"/>
      </rPr>
      <t>O)</t>
    </r>
    <r>
      <rPr>
        <sz val="11"/>
        <rFont val="Arial"/>
        <family val="2"/>
      </rPr>
      <t xml:space="preserve">
DIN EN ISO 18134 Blatt 3</t>
    </r>
  </si>
  <si>
    <r>
      <rPr>
        <b/>
        <sz val="11"/>
        <rFont val="Arial"/>
        <family val="2"/>
      </rPr>
      <t xml:space="preserve">Fixed C
</t>
    </r>
    <r>
      <rPr>
        <sz val="11"/>
        <rFont val="Arial"/>
        <family val="2"/>
      </rPr>
      <t>-berechnet-</t>
    </r>
  </si>
  <si>
    <r>
      <rPr>
        <b/>
        <sz val="11"/>
        <rFont val="Arial"/>
        <family val="2"/>
      </rPr>
      <t>flüchtige Stoffe</t>
    </r>
    <r>
      <rPr>
        <sz val="11"/>
        <rFont val="Arial"/>
        <family val="2"/>
      </rPr>
      <t xml:space="preserve">
DIN EN ISO 18123</t>
    </r>
  </si>
  <si>
    <r>
      <rPr>
        <b/>
        <sz val="11"/>
        <rFont val="Arial"/>
        <family val="2"/>
      </rPr>
      <t>Kohlenstoff (C)</t>
    </r>
    <r>
      <rPr>
        <sz val="11"/>
        <rFont val="Arial"/>
        <family val="2"/>
      </rPr>
      <t xml:space="preserve">
DIN EN ISO 16948</t>
    </r>
  </si>
  <si>
    <r>
      <rPr>
        <b/>
        <sz val="11"/>
        <rFont val="Arial"/>
        <family val="2"/>
      </rPr>
      <t>gesamt Wasserstoff (H</t>
    </r>
    <r>
      <rPr>
        <b/>
        <vertAlign val="subscript"/>
        <sz val="11"/>
        <rFont val="Arial"/>
        <family val="2"/>
      </rPr>
      <t>gesamt</t>
    </r>
    <r>
      <rPr>
        <b/>
        <sz val="11"/>
        <rFont val="Arial"/>
        <family val="2"/>
      </rPr>
      <t>)</t>
    </r>
    <r>
      <rPr>
        <sz val="11"/>
        <rFont val="Arial"/>
        <family val="2"/>
      </rPr>
      <t xml:space="preserve">
DIN EN ISO 16948</t>
    </r>
  </si>
  <si>
    <r>
      <rPr>
        <b/>
        <sz val="11"/>
        <rFont val="Arial"/>
        <family val="2"/>
      </rPr>
      <t>Brennwert (Hs)</t>
    </r>
    <r>
      <rPr>
        <sz val="11"/>
        <rFont val="Arial"/>
        <family val="2"/>
      </rPr>
      <t xml:space="preserve"> 
DIN EN ISO 18125</t>
    </r>
  </si>
  <si>
    <r>
      <rPr>
        <b/>
        <sz val="11"/>
        <rFont val="Arial"/>
        <family val="2"/>
      </rPr>
      <t>Stickstoff (N)</t>
    </r>
    <r>
      <rPr>
        <sz val="11"/>
        <rFont val="Arial"/>
        <family val="2"/>
      </rPr>
      <t xml:space="preserve">
DIN EN ISO 16948</t>
    </r>
  </si>
  <si>
    <r>
      <rPr>
        <b/>
        <sz val="11"/>
        <rFont val="Arial"/>
        <family val="2"/>
      </rPr>
      <t>Schwefel (S)</t>
    </r>
    <r>
      <rPr>
        <sz val="11"/>
        <rFont val="Arial"/>
        <family val="2"/>
      </rPr>
      <t xml:space="preserve">
DIN EN ISO 16994</t>
    </r>
  </si>
  <si>
    <r>
      <rPr>
        <b/>
        <sz val="11"/>
        <rFont val="Arial"/>
        <family val="2"/>
      </rPr>
      <t>Chlor (Cl)</t>
    </r>
    <r>
      <rPr>
        <sz val="11"/>
        <rFont val="Arial"/>
        <family val="2"/>
      </rPr>
      <t xml:space="preserve">
DIN EN ISO 16994</t>
    </r>
  </si>
  <si>
    <r>
      <rPr>
        <b/>
        <sz val="11"/>
        <rFont val="Arial"/>
        <family val="2"/>
      </rPr>
      <t>Asche -550°C- (A)</t>
    </r>
    <r>
      <rPr>
        <sz val="11"/>
        <rFont val="Arial"/>
        <family val="2"/>
      </rPr>
      <t xml:space="preserve">
DIN EN ISO 18122</t>
    </r>
  </si>
  <si>
    <r>
      <t>Al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>O</t>
    </r>
    <r>
      <rPr>
        <vertAlign val="subscript"/>
        <sz val="10"/>
        <rFont val="Arial"/>
        <family val="2"/>
      </rPr>
      <t>3</t>
    </r>
    <r>
      <rPr>
        <sz val="10"/>
        <rFont val="Arial"/>
        <family val="2"/>
      </rPr>
      <t xml:space="preserve">  in Al</t>
    </r>
  </si>
  <si>
    <r>
      <t>Fe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>O</t>
    </r>
    <r>
      <rPr>
        <vertAlign val="subscript"/>
        <sz val="10"/>
        <rFont val="Arial"/>
        <family val="2"/>
      </rPr>
      <t>3</t>
    </r>
    <r>
      <rPr>
        <sz val="10"/>
        <rFont val="Arial"/>
        <family val="2"/>
      </rPr>
      <t xml:space="preserve">  in Fe</t>
    </r>
  </si>
  <si>
    <r>
      <t>P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>O</t>
    </r>
    <r>
      <rPr>
        <vertAlign val="subscript"/>
        <sz val="10"/>
        <rFont val="Arial"/>
        <family val="2"/>
      </rPr>
      <t>5</t>
    </r>
    <r>
      <rPr>
        <sz val="10"/>
        <rFont val="Arial"/>
        <family val="2"/>
      </rPr>
      <t xml:space="preserve">  in P</t>
    </r>
  </si>
  <si>
    <r>
      <t>K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>O  in K</t>
    </r>
  </si>
  <si>
    <r>
      <t>SiO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 xml:space="preserve">  in Si</t>
    </r>
  </si>
  <si>
    <r>
      <t>Na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>O  in Na</t>
    </r>
  </si>
  <si>
    <r>
      <t>TiO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 xml:space="preserve">  in Ti</t>
    </r>
  </si>
  <si>
    <r>
      <t>kg</t>
    </r>
    <r>
      <rPr>
        <vertAlign val="subscript"/>
        <sz val="11"/>
        <rFont val="Arial"/>
        <family val="2"/>
      </rPr>
      <t>i</t>
    </r>
    <r>
      <rPr>
        <sz val="11"/>
        <rFont val="Arial"/>
        <family val="2"/>
      </rPr>
      <t>/kg</t>
    </r>
    <r>
      <rPr>
        <vertAlign val="subscript"/>
        <sz val="11"/>
        <rFont val="Arial"/>
        <family val="2"/>
      </rPr>
      <t>A</t>
    </r>
    <r>
      <rPr>
        <sz val="11"/>
        <rFont val="Arial"/>
        <family val="2"/>
      </rPr>
      <t>*100</t>
    </r>
  </si>
  <si>
    <t>Faktor Berechnung DT nach Roland Aeckersberg</t>
  </si>
  <si>
    <t>Fließtemp. FT
-gerechnet-</t>
  </si>
  <si>
    <t>Analysenbefund Nr.</t>
  </si>
  <si>
    <t>Probenbezeichnung</t>
  </si>
  <si>
    <t>Probenherkunft</t>
  </si>
  <si>
    <t>Proben-
bezeichnung</t>
  </si>
  <si>
    <r>
      <t>Masse leeres Trockenblech bei 20°C (m</t>
    </r>
    <r>
      <rPr>
        <vertAlign val="subscript"/>
        <sz val="11"/>
        <rFont val="Arial"/>
        <family val="2"/>
      </rPr>
      <t>1</t>
    </r>
    <r>
      <rPr>
        <sz val="11"/>
        <rFont val="Arial"/>
        <family val="2"/>
      </rPr>
      <t>)</t>
    </r>
  </si>
  <si>
    <r>
      <t>Masse Probe feucht und Trockenblech (m</t>
    </r>
    <r>
      <rPr>
        <vertAlign val="subscript"/>
        <sz val="11"/>
        <rFont val="Arial"/>
        <family val="2"/>
      </rPr>
      <t>2</t>
    </r>
    <r>
      <rPr>
        <sz val="11"/>
        <rFont val="Arial"/>
        <family val="2"/>
      </rPr>
      <t>)</t>
    </r>
  </si>
  <si>
    <r>
      <t>Masse Probe trocken und Trockenblech heiß (m</t>
    </r>
    <r>
      <rPr>
        <vertAlign val="subscript"/>
        <sz val="11"/>
        <rFont val="Arial"/>
        <family val="2"/>
      </rPr>
      <t>3</t>
    </r>
    <r>
      <rPr>
        <sz val="11"/>
        <rFont val="Arial"/>
        <family val="2"/>
      </rPr>
      <t>)</t>
    </r>
  </si>
  <si>
    <r>
      <t>Masse Referenztrockenblech bei 20°C (m</t>
    </r>
    <r>
      <rPr>
        <vertAlign val="subscript"/>
        <sz val="11"/>
        <rFont val="Arial"/>
        <family val="2"/>
      </rPr>
      <t>4</t>
    </r>
    <r>
      <rPr>
        <sz val="11"/>
        <rFont val="Arial"/>
        <family val="2"/>
      </rPr>
      <t>)</t>
    </r>
  </si>
  <si>
    <r>
      <t>Masse Referenztrockenblech heiß (m</t>
    </r>
    <r>
      <rPr>
        <vertAlign val="subscript"/>
        <sz val="11"/>
        <rFont val="Arial"/>
        <family val="2"/>
      </rPr>
      <t>5</t>
    </r>
    <r>
      <rPr>
        <sz val="11"/>
        <rFont val="Arial"/>
        <family val="2"/>
      </rPr>
      <t>)</t>
    </r>
  </si>
  <si>
    <r>
      <t>kg</t>
    </r>
    <r>
      <rPr>
        <vertAlign val="subscript"/>
        <sz val="11"/>
        <rFont val="Arial"/>
        <family val="2"/>
      </rPr>
      <t>i</t>
    </r>
    <r>
      <rPr>
        <sz val="11"/>
        <rFont val="Arial"/>
        <family val="2"/>
      </rPr>
      <t>/kg</t>
    </r>
    <r>
      <rPr>
        <vertAlign val="subscript"/>
        <sz val="11"/>
        <rFont val="Arial"/>
        <family val="2"/>
      </rPr>
      <t>Br</t>
    </r>
    <r>
      <rPr>
        <sz val="11"/>
        <rFont val="Arial"/>
        <family val="2"/>
      </rPr>
      <t>*100</t>
    </r>
  </si>
  <si>
    <r>
      <t>kJ/kg</t>
    </r>
    <r>
      <rPr>
        <vertAlign val="subscript"/>
        <sz val="11"/>
        <rFont val="Arial"/>
        <family val="2"/>
      </rPr>
      <t>Br</t>
    </r>
  </si>
  <si>
    <t>Hauptelemente
Bezug: Asche</t>
  </si>
  <si>
    <t>Spurenelemente
Bezug: Asche</t>
  </si>
  <si>
    <t>Hauptelemente
Bezug: Brennstoff</t>
  </si>
  <si>
    <t>Spurenelemente
Bezug: Brennstoff</t>
  </si>
  <si>
    <t>Erweichungstemp DT
-gerechnet-</t>
  </si>
  <si>
    <r>
      <t>Wasserfrei -wf-
in kg</t>
    </r>
    <r>
      <rPr>
        <b/>
        <vertAlign val="subscript"/>
        <sz val="10"/>
        <rFont val="Arial"/>
        <family val="2"/>
      </rPr>
      <t>i</t>
    </r>
    <r>
      <rPr>
        <b/>
        <sz val="10"/>
        <rFont val="Arial"/>
        <family val="2"/>
      </rPr>
      <t>/kg</t>
    </r>
    <r>
      <rPr>
        <b/>
        <vertAlign val="subscript"/>
        <sz val="10"/>
        <rFont val="Arial"/>
        <family val="2"/>
      </rPr>
      <t>Br</t>
    </r>
    <r>
      <rPr>
        <b/>
        <sz val="10"/>
        <rFont val="Arial"/>
        <family val="2"/>
      </rPr>
      <t>*100</t>
    </r>
  </si>
  <si>
    <r>
      <t>Heizwert -wf-
in kJ/kg</t>
    </r>
    <r>
      <rPr>
        <b/>
        <vertAlign val="subscript"/>
        <sz val="10"/>
        <rFont val="Arial"/>
        <family val="2"/>
      </rPr>
      <t>Br</t>
    </r>
    <r>
      <rPr>
        <b/>
        <sz val="10"/>
        <rFont val="Arial"/>
        <family val="2"/>
      </rPr>
      <t>*100</t>
    </r>
  </si>
  <si>
    <r>
      <t>Aschefrei -af-
in kg</t>
    </r>
    <r>
      <rPr>
        <b/>
        <vertAlign val="subscript"/>
        <sz val="10"/>
        <rFont val="Arial"/>
        <family val="2"/>
      </rPr>
      <t>i</t>
    </r>
    <r>
      <rPr>
        <b/>
        <sz val="10"/>
        <rFont val="Arial"/>
        <family val="2"/>
      </rPr>
      <t>/kg</t>
    </r>
    <r>
      <rPr>
        <b/>
        <vertAlign val="subscript"/>
        <sz val="10"/>
        <rFont val="Arial"/>
        <family val="2"/>
      </rPr>
      <t>Br</t>
    </r>
    <r>
      <rPr>
        <b/>
        <sz val="10"/>
        <rFont val="Arial"/>
        <family val="2"/>
      </rPr>
      <t>*100</t>
    </r>
  </si>
  <si>
    <r>
      <t>Heizwert -af-
in kJ/kg</t>
    </r>
    <r>
      <rPr>
        <b/>
        <vertAlign val="subscript"/>
        <sz val="10"/>
        <rFont val="Arial"/>
        <family val="2"/>
      </rPr>
      <t>Br</t>
    </r>
    <r>
      <rPr>
        <b/>
        <sz val="10"/>
        <rFont val="Arial"/>
        <family val="2"/>
      </rPr>
      <t>*100</t>
    </r>
  </si>
  <si>
    <t>Probendatum für
Brennstoff wie verfeuert -roh-</t>
  </si>
  <si>
    <r>
      <t>Wassergehalt -roh-
in kg</t>
    </r>
    <r>
      <rPr>
        <vertAlign val="subscript"/>
        <sz val="11"/>
        <color indexed="8"/>
        <rFont val="Arial"/>
        <family val="2"/>
      </rPr>
      <t>i</t>
    </r>
    <r>
      <rPr>
        <sz val="11"/>
        <color indexed="8"/>
        <rFont val="Arial"/>
        <family val="2"/>
      </rPr>
      <t>/kg</t>
    </r>
    <r>
      <rPr>
        <vertAlign val="subscript"/>
        <sz val="11"/>
        <color indexed="8"/>
        <rFont val="Arial"/>
        <family val="2"/>
      </rPr>
      <t>Br</t>
    </r>
    <r>
      <rPr>
        <sz val="11"/>
        <color indexed="8"/>
        <rFont val="Arial"/>
        <family val="2"/>
      </rPr>
      <t>*100</t>
    </r>
  </si>
  <si>
    <t>Brennstoffspez. Faktor A</t>
  </si>
  <si>
    <t>Brennstoffspez. Faktor B</t>
  </si>
  <si>
    <t>Abgasverlust mit
Brennstoffspezifische Parameter
nach Ö-Norm M 7510-4</t>
  </si>
  <si>
    <t>1mol C + 4,77*1mol Luft</t>
  </si>
  <si>
    <r>
      <t xml:space="preserve">stöchiometrischer
Koeffizient </t>
    </r>
    <r>
      <rPr>
        <sz val="11"/>
        <rFont val="Calibri"/>
        <family val="2"/>
      </rPr>
      <t>Ω</t>
    </r>
    <r>
      <rPr>
        <vertAlign val="subscript"/>
        <sz val="11"/>
        <rFont val="Arial"/>
        <family val="2"/>
      </rPr>
      <t>i</t>
    </r>
  </si>
  <si>
    <t>Luftbedarf</t>
  </si>
  <si>
    <r>
      <rPr>
        <sz val="11"/>
        <rFont val="Calibri"/>
        <family val="2"/>
      </rPr>
      <t>Ω</t>
    </r>
    <r>
      <rPr>
        <vertAlign val="subscript"/>
        <sz val="11"/>
        <rFont val="Arial"/>
        <family val="2"/>
      </rPr>
      <t>CO2</t>
    </r>
  </si>
  <si>
    <t>→</t>
  </si>
  <si>
    <r>
      <rPr>
        <sz val="11"/>
        <rFont val="Calibri"/>
        <family val="2"/>
      </rPr>
      <t>Ω</t>
    </r>
    <r>
      <rPr>
        <vertAlign val="subscript"/>
        <sz val="11"/>
        <rFont val="Arial"/>
        <family val="2"/>
      </rPr>
      <t>H</t>
    </r>
  </si>
  <si>
    <t>1mol H + 4,77*1/4mol Luft</t>
  </si>
  <si>
    <r>
      <rPr>
        <sz val="11"/>
        <rFont val="Calibri"/>
        <family val="2"/>
      </rPr>
      <t>Ω</t>
    </r>
    <r>
      <rPr>
        <vertAlign val="subscript"/>
        <sz val="11"/>
        <rFont val="Arial"/>
        <family val="2"/>
      </rPr>
      <t>S</t>
    </r>
  </si>
  <si>
    <t>1mol S + 4,77*1mol Luft</t>
  </si>
  <si>
    <r>
      <rPr>
        <sz val="11"/>
        <rFont val="Calibri"/>
        <family val="2"/>
      </rPr>
      <t>Ω</t>
    </r>
    <r>
      <rPr>
        <vertAlign val="subscript"/>
        <sz val="11"/>
        <rFont val="Arial"/>
        <family val="2"/>
      </rPr>
      <t>H2O,f</t>
    </r>
  </si>
  <si>
    <r>
      <rPr>
        <sz val="11"/>
        <rFont val="Calibri"/>
        <family val="2"/>
      </rPr>
      <t>Ω</t>
    </r>
    <r>
      <rPr>
        <vertAlign val="subscript"/>
        <sz val="11"/>
        <rFont val="Arial"/>
        <family val="2"/>
      </rPr>
      <t>H2O,H</t>
    </r>
  </si>
  <si>
    <t xml:space="preserve"> 4,77*1/2mol Luft</t>
  </si>
  <si>
    <r>
      <t>1mol H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>O</t>
    </r>
    <r>
      <rPr>
        <vertAlign val="subscript"/>
        <sz val="10"/>
        <rFont val="Arial"/>
        <family val="2"/>
      </rPr>
      <t>flüssig</t>
    </r>
    <r>
      <rPr>
        <sz val="10"/>
        <rFont val="Arial"/>
        <family val="2"/>
      </rPr>
      <t xml:space="preserve"> </t>
    </r>
  </si>
  <si>
    <r>
      <rPr>
        <sz val="11"/>
        <rFont val="Calibri"/>
        <family val="2"/>
      </rPr>
      <t>Ω</t>
    </r>
    <r>
      <rPr>
        <vertAlign val="subscript"/>
        <sz val="11"/>
        <rFont val="Arial"/>
        <family val="2"/>
      </rPr>
      <t>SO2</t>
    </r>
  </si>
  <si>
    <t>1mol N</t>
  </si>
  <si>
    <r>
      <rPr>
        <sz val="11"/>
        <rFont val="Calibri"/>
        <family val="2"/>
      </rPr>
      <t>Ω</t>
    </r>
    <r>
      <rPr>
        <vertAlign val="subscript"/>
        <sz val="11"/>
        <rFont val="Arial"/>
        <family val="2"/>
      </rPr>
      <t>C</t>
    </r>
  </si>
  <si>
    <r>
      <rPr>
        <sz val="11"/>
        <rFont val="Calibri"/>
        <family val="2"/>
      </rPr>
      <t>Ω</t>
    </r>
    <r>
      <rPr>
        <vertAlign val="subscript"/>
        <sz val="11"/>
        <rFont val="Arial"/>
        <family val="2"/>
      </rPr>
      <t>O,L</t>
    </r>
  </si>
  <si>
    <r>
      <rPr>
        <sz val="11"/>
        <rFont val="Calibri"/>
        <family val="2"/>
      </rPr>
      <t>Ω</t>
    </r>
    <r>
      <rPr>
        <vertAlign val="subscript"/>
        <sz val="11"/>
        <rFont val="Arial"/>
        <family val="2"/>
      </rPr>
      <t>O,N2</t>
    </r>
  </si>
  <si>
    <t>min Luftvolumenstrom</t>
  </si>
  <si>
    <r>
      <t xml:space="preserve">Luftvolumenstrom bei </t>
    </r>
    <r>
      <rPr>
        <sz val="10"/>
        <rFont val="Calibri"/>
        <family val="2"/>
      </rPr>
      <t>λ</t>
    </r>
  </si>
  <si>
    <t>min Abgasvolumenstrom feucht</t>
  </si>
  <si>
    <t>min Abgasvolumenstrom trocken</t>
  </si>
  <si>
    <r>
      <t xml:space="preserve">Abgasvolumenstrom feucht bei </t>
    </r>
    <r>
      <rPr>
        <sz val="10"/>
        <rFont val="Calibri"/>
        <family val="2"/>
      </rPr>
      <t>λ</t>
    </r>
  </si>
  <si>
    <r>
      <t xml:space="preserve">Abgasvolumenstrom trocken bei </t>
    </r>
    <r>
      <rPr>
        <sz val="10"/>
        <rFont val="Calibri"/>
        <family val="2"/>
      </rPr>
      <t>λ</t>
    </r>
  </si>
  <si>
    <t>Brennstoffmassenstrom</t>
  </si>
  <si>
    <t>m³/h</t>
  </si>
  <si>
    <t>HCL,max</t>
  </si>
  <si>
    <t>trockene Abgaszusammensetzung
vollständige Verbrennung</t>
  </si>
  <si>
    <t>mol/mol als Vol.%</t>
  </si>
  <si>
    <t>mol/mol</t>
  </si>
  <si>
    <t>mol/mol als Vol. ppm</t>
  </si>
  <si>
    <t>ppm als mol/mol</t>
  </si>
  <si>
    <r>
      <t>mol/mol*10</t>
    </r>
    <r>
      <rPr>
        <vertAlign val="superscript"/>
        <sz val="10"/>
        <rFont val="Arial"/>
        <family val="2"/>
      </rPr>
      <t>2</t>
    </r>
  </si>
  <si>
    <r>
      <t>mol/mol*10</t>
    </r>
    <r>
      <rPr>
        <vertAlign val="superscript"/>
        <sz val="10"/>
        <rFont val="Arial"/>
        <family val="2"/>
      </rPr>
      <t>6</t>
    </r>
  </si>
  <si>
    <r>
      <t>1mol CO</t>
    </r>
    <r>
      <rPr>
        <vertAlign val="subscript"/>
        <sz val="11"/>
        <rFont val="Arial"/>
        <family val="2"/>
      </rPr>
      <t>2</t>
    </r>
    <r>
      <rPr>
        <sz val="11"/>
        <rFont val="Arial"/>
        <family val="2"/>
      </rPr>
      <t xml:space="preserve"> + 3,77*1mol N</t>
    </r>
    <r>
      <rPr>
        <vertAlign val="subscript"/>
        <sz val="11"/>
        <rFont val="Arial"/>
        <family val="2"/>
      </rPr>
      <t>2</t>
    </r>
  </si>
  <si>
    <r>
      <t>1/2mol H</t>
    </r>
    <r>
      <rPr>
        <vertAlign val="subscript"/>
        <sz val="11"/>
        <rFont val="Arial"/>
        <family val="2"/>
      </rPr>
      <t>2</t>
    </r>
    <r>
      <rPr>
        <sz val="11"/>
        <rFont val="Arial"/>
        <family val="2"/>
      </rPr>
      <t>O + 3,77*1mol N</t>
    </r>
    <r>
      <rPr>
        <vertAlign val="subscript"/>
        <sz val="11"/>
        <rFont val="Arial"/>
        <family val="2"/>
      </rPr>
      <t>2</t>
    </r>
  </si>
  <si>
    <r>
      <t>1mol SO</t>
    </r>
    <r>
      <rPr>
        <vertAlign val="subscript"/>
        <sz val="11"/>
        <rFont val="Arial"/>
        <family val="2"/>
      </rPr>
      <t>2</t>
    </r>
    <r>
      <rPr>
        <sz val="11"/>
        <rFont val="Arial"/>
        <family val="2"/>
      </rPr>
      <t xml:space="preserve"> +  3,77*1mol N</t>
    </r>
    <r>
      <rPr>
        <vertAlign val="subscript"/>
        <sz val="11"/>
        <rFont val="Arial"/>
        <family val="2"/>
      </rPr>
      <t>2</t>
    </r>
  </si>
  <si>
    <r>
      <t>1/2mol (O</t>
    </r>
    <r>
      <rPr>
        <vertAlign val="subscript"/>
        <sz val="11"/>
        <rFont val="Arial"/>
        <family val="2"/>
      </rPr>
      <t>2</t>
    </r>
    <r>
      <rPr>
        <sz val="11"/>
        <rFont val="Arial"/>
        <family val="2"/>
      </rPr>
      <t xml:space="preserve"> +  3,77*N</t>
    </r>
    <r>
      <rPr>
        <vertAlign val="subscript"/>
        <sz val="11"/>
        <rFont val="Arial"/>
        <family val="2"/>
      </rPr>
      <t>2</t>
    </r>
    <r>
      <rPr>
        <sz val="11"/>
        <rFont val="Arial"/>
        <family val="2"/>
      </rPr>
      <t>)</t>
    </r>
  </si>
  <si>
    <r>
      <t>1mol H</t>
    </r>
    <r>
      <rPr>
        <vertAlign val="subscript"/>
        <sz val="11"/>
        <rFont val="Arial"/>
        <family val="2"/>
      </rPr>
      <t>2</t>
    </r>
    <r>
      <rPr>
        <sz val="11"/>
        <rFont val="Arial"/>
        <family val="2"/>
      </rPr>
      <t>O</t>
    </r>
    <r>
      <rPr>
        <vertAlign val="subscript"/>
        <sz val="11"/>
        <rFont val="Arial"/>
        <family val="2"/>
      </rPr>
      <t>dampf</t>
    </r>
  </si>
  <si>
    <r>
      <t>1mol N</t>
    </r>
    <r>
      <rPr>
        <vertAlign val="subscript"/>
        <sz val="11"/>
        <rFont val="Arial"/>
        <family val="2"/>
      </rPr>
      <t>2</t>
    </r>
  </si>
  <si>
    <t>1mol N + 1mol O</t>
  </si>
  <si>
    <t>1mol NO</t>
  </si>
  <si>
    <r>
      <rPr>
        <sz val="11"/>
        <rFont val="Calibri"/>
        <family val="2"/>
      </rPr>
      <t>Ω</t>
    </r>
    <r>
      <rPr>
        <vertAlign val="subscript"/>
        <sz val="11"/>
        <rFont val="Arial"/>
        <family val="2"/>
      </rPr>
      <t>NO</t>
    </r>
  </si>
  <si>
    <r>
      <rPr>
        <sz val="11"/>
        <rFont val="Calibri"/>
        <family val="2"/>
      </rPr>
      <t>Ω</t>
    </r>
    <r>
      <rPr>
        <vertAlign val="subscript"/>
        <sz val="11"/>
        <rFont val="Arial"/>
        <family val="2"/>
      </rPr>
      <t>HCL</t>
    </r>
  </si>
  <si>
    <t>1mol Cl + 1mol H</t>
  </si>
  <si>
    <t>1mol HCL</t>
  </si>
  <si>
    <t>NO,max</t>
  </si>
  <si>
    <r>
      <t>SO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>,max</t>
    </r>
  </si>
  <si>
    <r>
      <t>NO</t>
    </r>
    <r>
      <rPr>
        <vertAlign val="subscript"/>
        <sz val="10"/>
        <rFont val="Arial"/>
        <family val="2"/>
      </rPr>
      <t>x</t>
    </r>
    <r>
      <rPr>
        <sz val="10"/>
        <rFont val="Arial"/>
        <family val="2"/>
      </rPr>
      <t>,max</t>
    </r>
  </si>
  <si>
    <r>
      <t>SO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>, NO</t>
    </r>
    <r>
      <rPr>
        <vertAlign val="subscript"/>
        <sz val="10"/>
        <rFont val="Arial"/>
        <family val="2"/>
      </rPr>
      <t>x</t>
    </r>
    <r>
      <rPr>
        <sz val="10"/>
        <rFont val="Arial"/>
        <family val="2"/>
      </rPr>
      <t>, HCL
-bezogen-</t>
    </r>
  </si>
  <si>
    <r>
      <t>Bezugs O</t>
    </r>
    <r>
      <rPr>
        <vertAlign val="subscript"/>
        <sz val="10"/>
        <rFont val="Arial"/>
        <family val="2"/>
      </rPr>
      <t>2</t>
    </r>
  </si>
  <si>
    <t>Umwandlungsgrad</t>
  </si>
  <si>
    <t>Abgastemp.</t>
  </si>
  <si>
    <t>Umgebungstemp.</t>
  </si>
  <si>
    <r>
      <t>O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 xml:space="preserve"> im Abgas</t>
    </r>
  </si>
  <si>
    <t>Abgasverlust</t>
  </si>
  <si>
    <t>Ascheschmelzverhalten
DIN CEN/TS 15370
(aus Asche nach DIN EN ISO 18122 - 550°C)</t>
  </si>
  <si>
    <r>
      <rPr>
        <sz val="11"/>
        <rFont val="Calibri"/>
        <family val="2"/>
      </rPr>
      <t>Ω</t>
    </r>
    <r>
      <rPr>
        <vertAlign val="subscript"/>
        <sz val="11"/>
        <rFont val="Arial"/>
        <family val="2"/>
      </rPr>
      <t>N,Abg</t>
    </r>
  </si>
  <si>
    <r>
      <rPr>
        <b/>
        <sz val="11"/>
        <color theme="0" tint="-0.34998626667073579"/>
        <rFont val="Arial"/>
        <family val="2"/>
      </rPr>
      <t>organischer Wasserstoff (H</t>
    </r>
    <r>
      <rPr>
        <b/>
        <vertAlign val="subscript"/>
        <sz val="11"/>
        <color theme="0" tint="-0.34998626667073579"/>
        <rFont val="Arial"/>
        <family val="2"/>
      </rPr>
      <t>org</t>
    </r>
    <r>
      <rPr>
        <b/>
        <sz val="11"/>
        <color theme="0" tint="-0.34998626667073579"/>
        <rFont val="Arial"/>
        <family val="2"/>
      </rPr>
      <t>)</t>
    </r>
    <r>
      <rPr>
        <sz val="11"/>
        <color theme="0" tint="-0.34998626667073579"/>
        <rFont val="Arial"/>
        <family val="2"/>
      </rPr>
      <t xml:space="preserve">
berechnet</t>
    </r>
  </si>
  <si>
    <r>
      <t>kg</t>
    </r>
    <r>
      <rPr>
        <vertAlign val="subscript"/>
        <sz val="10"/>
        <color theme="0" tint="-0.34998626667073579"/>
        <rFont val="Arial"/>
        <family val="2"/>
      </rPr>
      <t>i</t>
    </r>
    <r>
      <rPr>
        <sz val="10"/>
        <color theme="0" tint="-0.34998626667073579"/>
        <rFont val="Arial"/>
        <family val="2"/>
      </rPr>
      <t>/kg</t>
    </r>
    <r>
      <rPr>
        <vertAlign val="subscript"/>
        <sz val="10"/>
        <color theme="0" tint="-0.34998626667073579"/>
        <rFont val="Arial"/>
        <family val="2"/>
      </rPr>
      <t>Br</t>
    </r>
    <r>
      <rPr>
        <sz val="10"/>
        <color theme="0" tint="-0.34998626667073579"/>
        <rFont val="Arial"/>
        <family val="2"/>
      </rPr>
      <t>*100</t>
    </r>
  </si>
  <si>
    <t>Ruckaberle</t>
  </si>
  <si>
    <t>FWL</t>
  </si>
  <si>
    <t>kW</t>
  </si>
  <si>
    <t>Stückholz</t>
  </si>
  <si>
    <t>Buche 22cm</t>
  </si>
  <si>
    <t>2009 / 207 / 1765</t>
  </si>
  <si>
    <r>
      <t>kg</t>
    </r>
    <r>
      <rPr>
        <vertAlign val="subscript"/>
        <sz val="10"/>
        <rFont val="Arial"/>
        <family val="2"/>
      </rPr>
      <t>Br</t>
    </r>
    <r>
      <rPr>
        <sz val="10"/>
        <rFont val="Arial"/>
        <family val="2"/>
      </rPr>
      <t xml:space="preserve">/h </t>
    </r>
    <r>
      <rPr>
        <sz val="10"/>
        <rFont val="Symbol"/>
        <family val="1"/>
        <charset val="2"/>
      </rPr>
      <t xml:space="preserve">Ù </t>
    </r>
    <r>
      <rPr>
        <sz val="10"/>
        <rFont val="Arial"/>
        <family val="2"/>
      </rPr>
      <t>m³/kg</t>
    </r>
    <r>
      <rPr>
        <vertAlign val="subscript"/>
        <sz val="10"/>
        <rFont val="Arial"/>
        <family val="2"/>
      </rPr>
      <t>Br</t>
    </r>
  </si>
  <si>
    <t>2010 / 207 / 1765</t>
  </si>
  <si>
    <t>2011 / 207 / 1765</t>
  </si>
  <si>
    <t>Holzpellets</t>
  </si>
  <si>
    <t>DinPlus</t>
  </si>
  <si>
    <t>Heupellets</t>
  </si>
  <si>
    <t>Mueller</t>
  </si>
  <si>
    <t>Hackschnitzel</t>
  </si>
  <si>
    <t>Brennpunkt Energie</t>
  </si>
  <si>
    <t>flüssig</t>
  </si>
  <si>
    <t>gasförimig
[kJ/mol]</t>
  </si>
  <si>
    <t>fest</t>
  </si>
  <si>
    <t>fossil</t>
  </si>
  <si>
    <t>NOx</t>
  </si>
  <si>
    <t>CO2,max</t>
  </si>
  <si>
    <t>m³/kg</t>
  </si>
  <si>
    <t>m³/kWh</t>
  </si>
  <si>
    <t>https://www.aral.de/de/global/forschung/kraftstoffe/heizoel.html#accordion_01</t>
  </si>
  <si>
    <t>Restsauerstoffgehalt im Abgas</t>
  </si>
  <si>
    <r>
      <t xml:space="preserve">Umrechnungsfaktor trocken
mg/m³  </t>
    </r>
    <r>
      <rPr>
        <sz val="10"/>
        <rFont val="Calibri"/>
        <family val="2"/>
      </rPr>
      <t>→</t>
    </r>
    <r>
      <rPr>
        <sz val="10"/>
        <rFont val="Arial"/>
        <family val="2"/>
      </rPr>
      <t xml:space="preserve"> kg/TJ bzw. mg/MJ</t>
    </r>
  </si>
  <si>
    <r>
      <t xml:space="preserve">Umrechnungsfaktor feucht (VOC)
mg/m³  </t>
    </r>
    <r>
      <rPr>
        <sz val="10"/>
        <rFont val="Calibri"/>
        <family val="2"/>
      </rPr>
      <t>→</t>
    </r>
    <r>
      <rPr>
        <sz val="10"/>
        <rFont val="Arial"/>
        <family val="2"/>
      </rPr>
      <t xml:space="preserve"> kg/TJ bzw. mg/MJ</t>
    </r>
  </si>
  <si>
    <r>
      <t xml:space="preserve">Luftzahl trocken </t>
    </r>
    <r>
      <rPr>
        <sz val="10"/>
        <rFont val="Calibri"/>
        <family val="2"/>
      </rPr>
      <t>λ</t>
    </r>
    <r>
      <rPr>
        <vertAlign val="subscript"/>
        <sz val="10"/>
        <rFont val="Calibri"/>
        <family val="2"/>
      </rPr>
      <t>tr</t>
    </r>
  </si>
  <si>
    <t>HEL Std</t>
  </si>
  <si>
    <t>HEL S-arm</t>
  </si>
  <si>
    <t>Erdgas H</t>
  </si>
  <si>
    <t>https://www.bundesnetzagentur.de/DE/Vportal/Energie/UmstellungGas/start.html</t>
  </si>
  <si>
    <t xml:space="preserve">Heizwert </t>
  </si>
  <si>
    <t>kWh/kg</t>
  </si>
  <si>
    <t>kWh/l</t>
  </si>
  <si>
    <t>kWh/m³</t>
  </si>
  <si>
    <t>HEL</t>
  </si>
  <si>
    <t>Erdgas H (Nordsee)</t>
  </si>
  <si>
    <t>Methan CH4</t>
  </si>
  <si>
    <t>Stickstoff N2</t>
  </si>
  <si>
    <t>Kohlenstoffdioxid CO2</t>
  </si>
  <si>
    <t>Ethan C2H6</t>
  </si>
  <si>
    <t>Propan C3H8</t>
  </si>
  <si>
    <t>n-Butane n-C4H10</t>
  </si>
  <si>
    <t>n-Petane n-C5H12</t>
  </si>
  <si>
    <r>
      <t>Gaszusammensetzung mol/mol*10</t>
    </r>
    <r>
      <rPr>
        <vertAlign val="superscript"/>
        <sz val="10"/>
        <rFont val="Arial"/>
        <family val="2"/>
      </rPr>
      <t>2</t>
    </r>
  </si>
  <si>
    <t>Dichte kg/m³</t>
  </si>
  <si>
    <r>
      <t>Wasserstoff kg</t>
    </r>
    <r>
      <rPr>
        <vertAlign val="subscript"/>
        <sz val="10"/>
        <rFont val="Arial"/>
        <family val="2"/>
      </rPr>
      <t>i</t>
    </r>
    <r>
      <rPr>
        <sz val="10"/>
        <rFont val="Arial"/>
        <family val="2"/>
      </rPr>
      <t>/kg</t>
    </r>
    <r>
      <rPr>
        <vertAlign val="subscript"/>
        <sz val="10"/>
        <rFont val="Arial"/>
        <family val="2"/>
      </rPr>
      <t>Erdgas</t>
    </r>
  </si>
  <si>
    <r>
      <t>Kohlenstoff kg</t>
    </r>
    <r>
      <rPr>
        <vertAlign val="subscript"/>
        <sz val="10"/>
        <rFont val="Arial"/>
        <family val="2"/>
      </rPr>
      <t>i</t>
    </r>
    <r>
      <rPr>
        <sz val="10"/>
        <rFont val="Arial"/>
        <family val="2"/>
      </rPr>
      <t>/kg</t>
    </r>
    <r>
      <rPr>
        <vertAlign val="subscript"/>
        <sz val="10"/>
        <rFont val="Arial"/>
        <family val="2"/>
      </rPr>
      <t>Erdgas</t>
    </r>
  </si>
  <si>
    <r>
      <t>C</t>
    </r>
    <r>
      <rPr>
        <vertAlign val="subscript"/>
        <sz val="10"/>
        <rFont val="Arial"/>
        <family val="2"/>
      </rPr>
      <t>5</t>
    </r>
    <r>
      <rPr>
        <sz val="10"/>
        <rFont val="Arial"/>
        <family val="2"/>
      </rPr>
      <t>H</t>
    </r>
    <r>
      <rPr>
        <vertAlign val="subscript"/>
        <sz val="10"/>
        <rFont val="Arial"/>
        <family val="2"/>
      </rPr>
      <t>12</t>
    </r>
  </si>
  <si>
    <r>
      <t>C</t>
    </r>
    <r>
      <rPr>
        <vertAlign val="subscript"/>
        <sz val="10"/>
        <rFont val="Arial"/>
        <family val="2"/>
      </rPr>
      <t>6</t>
    </r>
    <r>
      <rPr>
        <sz val="10"/>
        <rFont val="Arial"/>
        <family val="2"/>
      </rPr>
      <t>H</t>
    </r>
    <r>
      <rPr>
        <vertAlign val="subscript"/>
        <sz val="10"/>
        <rFont val="Arial"/>
        <family val="2"/>
      </rPr>
      <t>14</t>
    </r>
  </si>
  <si>
    <r>
      <t>Stoffanteil 1/kg</t>
    </r>
    <r>
      <rPr>
        <vertAlign val="subscript"/>
        <sz val="10"/>
        <rFont val="Arial"/>
        <family val="2"/>
      </rPr>
      <t>i</t>
    </r>
  </si>
  <si>
    <r>
      <t>kg</t>
    </r>
    <r>
      <rPr>
        <vertAlign val="subscript"/>
        <sz val="10"/>
        <rFont val="Arial"/>
        <family val="2"/>
      </rPr>
      <t>i</t>
    </r>
    <r>
      <rPr>
        <sz val="10"/>
        <rFont val="Arial"/>
        <family val="2"/>
      </rPr>
      <t>/kg</t>
    </r>
    <r>
      <rPr>
        <vertAlign val="subscript"/>
        <sz val="10"/>
        <rFont val="Arial"/>
        <family val="2"/>
      </rPr>
      <t>Erdgas</t>
    </r>
  </si>
  <si>
    <t>Hexane + höhere kWs C6H14+</t>
  </si>
  <si>
    <t>Flüssiggas</t>
  </si>
  <si>
    <t>Struschka et al. 2016
Emissionen Flüssiggasfeuerung</t>
  </si>
  <si>
    <t>BkB</t>
  </si>
  <si>
    <t>SK</t>
  </si>
  <si>
    <t>Erdgas</t>
  </si>
  <si>
    <t>Fluessiggas</t>
  </si>
  <si>
    <t>Stadtgas</t>
  </si>
  <si>
    <t>Kokereigas</t>
  </si>
  <si>
    <t>Heizoel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</si>
</sst>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5">
    <numFmt numFmtId="164" formatCode="_-* #,##0.00\ _€_-;\-* #,##0.00\ _€_-;_-* &quot;-&quot;??\ _€_-;_-@_-"/>
    <numFmt numFmtId="165" formatCode="#,##0.0"/>
    <numFmt numFmtId="166" formatCode="0.0"/>
    <numFmt numFmtId="167" formatCode="0.000"/>
    <numFmt numFmtId="168" formatCode="dd/mm/yy"/>
    <numFmt numFmtId="169" formatCode="0.0000000"/>
    <numFmt numFmtId="170" formatCode="0.00000"/>
    <numFmt numFmtId="171" formatCode="0.0000"/>
    <numFmt numFmtId="172" formatCode="0.0E+00"/>
    <numFmt numFmtId="173" formatCode="#,##0.0000000000"/>
    <numFmt numFmtId="174" formatCode="0.000000E+00"/>
    <numFmt numFmtId="175" formatCode="0E+00"/>
    <numFmt numFmtId="176" formatCode="#,##0.000"/>
    <numFmt numFmtId="177" formatCode="0.000000"/>
    <numFmt numFmtId="178" formatCode="0.0000E+00"/>
  </numFmts>
  <fonts count="50" x14ac:knownFonts="1">
    <font>
      <sz val="10"/>
      <name val="Arial"/>
    </font>
    <font>
      <sz val="11"/>
      <color indexed="8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name val="Arial"/>
      <family val="2"/>
    </font>
    <font>
      <sz val="12"/>
      <name val="Arial"/>
      <family val="2"/>
    </font>
    <font>
      <vertAlign val="subscript"/>
      <sz val="10"/>
      <name val="Arial"/>
      <family val="2"/>
    </font>
    <font>
      <sz val="10"/>
      <name val="Calibri"/>
      <family val="2"/>
    </font>
    <font>
      <b/>
      <vertAlign val="subscript"/>
      <sz val="10"/>
      <name val="Arial"/>
      <family val="2"/>
    </font>
    <font>
      <sz val="11"/>
      <color indexed="8"/>
      <name val="Arial"/>
      <family val="2"/>
    </font>
    <font>
      <sz val="11"/>
      <name val="Arial"/>
      <family val="2"/>
    </font>
    <font>
      <vertAlign val="superscript"/>
      <sz val="10"/>
      <name val="Arial"/>
      <family val="2"/>
    </font>
    <font>
      <sz val="10"/>
      <color indexed="8"/>
      <name val="Arial"/>
      <family val="2"/>
    </font>
    <font>
      <b/>
      <sz val="9"/>
      <color indexed="81"/>
      <name val="Segoe UI"/>
      <family val="2"/>
    </font>
    <font>
      <b/>
      <sz val="11"/>
      <name val="Arial"/>
      <family val="2"/>
    </font>
    <font>
      <vertAlign val="subscript"/>
      <sz val="11"/>
      <name val="Arial"/>
      <family val="2"/>
    </font>
    <font>
      <b/>
      <vertAlign val="subscript"/>
      <sz val="11"/>
      <name val="Arial"/>
      <family val="2"/>
    </font>
    <font>
      <sz val="14"/>
      <name val="Arial"/>
      <family val="2"/>
    </font>
    <font>
      <vertAlign val="subscript"/>
      <sz val="11"/>
      <color indexed="8"/>
      <name val="Arial"/>
      <family val="2"/>
    </font>
    <font>
      <sz val="9"/>
      <color indexed="81"/>
      <name val="Segoe UI"/>
      <family val="2"/>
    </font>
    <font>
      <sz val="11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 tint="-0.34998626667073579"/>
      <name val="Arial"/>
      <family val="2"/>
    </font>
    <font>
      <b/>
      <sz val="11"/>
      <color theme="0" tint="-0.34998626667073579"/>
      <name val="Arial"/>
      <family val="2"/>
    </font>
    <font>
      <b/>
      <vertAlign val="subscript"/>
      <sz val="11"/>
      <color theme="0" tint="-0.34998626667073579"/>
      <name val="Arial"/>
      <family val="2"/>
    </font>
    <font>
      <sz val="10"/>
      <color theme="0" tint="-0.34998626667073579"/>
      <name val="Arial"/>
      <family val="2"/>
    </font>
    <font>
      <vertAlign val="subscript"/>
      <sz val="10"/>
      <color theme="0" tint="-0.34998626667073579"/>
      <name val="Arial"/>
      <family val="2"/>
    </font>
    <font>
      <sz val="10"/>
      <name val="Symbol"/>
      <family val="1"/>
      <charset val="2"/>
    </font>
    <font>
      <sz val="9"/>
      <color indexed="81"/>
      <name val="Segoe UI"/>
      <charset val="1"/>
    </font>
    <font>
      <b/>
      <sz val="9"/>
      <color indexed="81"/>
      <name val="Segoe UI"/>
      <charset val="1"/>
    </font>
    <font>
      <vertAlign val="subscript"/>
      <sz val="10"/>
      <name val="Calibri"/>
      <family val="2"/>
    </font>
  </fonts>
  <fills count="36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A5A5A5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indexed="64"/>
      </bottom>
      <diagonal/>
    </border>
  </borders>
  <cellStyleXfs count="52">
    <xf numFmtId="0" fontId="0" fillId="0" borderId="0"/>
    <xf numFmtId="0" fontId="23" fillId="2" borderId="0" applyNumberFormat="0" applyBorder="0" applyAlignment="0" applyProtection="0"/>
    <xf numFmtId="0" fontId="23" fillId="3" borderId="0" applyNumberFormat="0" applyBorder="0" applyAlignment="0" applyProtection="0"/>
    <xf numFmtId="0" fontId="23" fillId="4" borderId="0" applyNumberFormat="0" applyBorder="0" applyAlignment="0" applyProtection="0"/>
    <xf numFmtId="0" fontId="23" fillId="5" borderId="0" applyNumberFormat="0" applyBorder="0" applyAlignment="0" applyProtection="0"/>
    <xf numFmtId="0" fontId="23" fillId="6" borderId="0" applyNumberFormat="0" applyBorder="0" applyAlignment="0" applyProtection="0"/>
    <xf numFmtId="0" fontId="23" fillId="7" borderId="0" applyNumberFormat="0" applyBorder="0" applyAlignment="0" applyProtection="0"/>
    <xf numFmtId="0" fontId="23" fillId="8" borderId="0" applyNumberFormat="0" applyBorder="0" applyAlignment="0" applyProtection="0"/>
    <xf numFmtId="0" fontId="23" fillId="9" borderId="0" applyNumberFormat="0" applyBorder="0" applyAlignment="0" applyProtection="0"/>
    <xf numFmtId="0" fontId="23" fillId="10" borderId="0" applyNumberFormat="0" applyBorder="0" applyAlignment="0" applyProtection="0"/>
    <xf numFmtId="0" fontId="23" fillId="11" borderId="0" applyNumberFormat="0" applyBorder="0" applyAlignment="0" applyProtection="0"/>
    <xf numFmtId="0" fontId="23" fillId="12" borderId="0" applyNumberFormat="0" applyBorder="0" applyAlignment="0" applyProtection="0"/>
    <xf numFmtId="0" fontId="23" fillId="13" borderId="0" applyNumberFormat="0" applyBorder="0" applyAlignment="0" applyProtection="0"/>
    <xf numFmtId="0" fontId="24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24" fillId="21" borderId="0" applyNumberFormat="0" applyBorder="0" applyAlignment="0" applyProtection="0"/>
    <xf numFmtId="0" fontId="24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24" fillId="25" borderId="0" applyNumberFormat="0" applyBorder="0" applyAlignment="0" applyProtection="0"/>
    <xf numFmtId="0" fontId="25" fillId="26" borderId="6" applyNumberFormat="0" applyAlignment="0" applyProtection="0"/>
    <xf numFmtId="0" fontId="26" fillId="26" borderId="7" applyNumberFormat="0" applyAlignment="0" applyProtection="0"/>
    <xf numFmtId="0" fontId="27" fillId="27" borderId="7" applyNumberFormat="0" applyAlignment="0" applyProtection="0"/>
    <xf numFmtId="0" fontId="28" fillId="0" borderId="8" applyNumberFormat="0" applyFill="0" applyAlignment="0" applyProtection="0"/>
    <xf numFmtId="0" fontId="29" fillId="0" borderId="0" applyNumberFormat="0" applyFill="0" applyBorder="0" applyAlignment="0" applyProtection="0"/>
    <xf numFmtId="0" fontId="30" fillId="28" borderId="0" applyNumberFormat="0" applyBorder="0" applyAlignment="0" applyProtection="0"/>
    <xf numFmtId="164" fontId="23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31" fillId="29" borderId="0" applyNumberFormat="0" applyBorder="0" applyAlignment="0" applyProtection="0"/>
    <xf numFmtId="0" fontId="23" fillId="30" borderId="9" applyNumberFormat="0" applyFont="0" applyAlignment="0" applyProtection="0"/>
    <xf numFmtId="0" fontId="32" fillId="31" borderId="0" applyNumberFormat="0" applyBorder="0" applyAlignment="0" applyProtection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3" fillId="0" borderId="0"/>
    <xf numFmtId="0" fontId="2" fillId="0" borderId="0"/>
    <xf numFmtId="0" fontId="34" fillId="0" borderId="0" applyNumberFormat="0" applyFill="0" applyBorder="0" applyAlignment="0" applyProtection="0"/>
    <xf numFmtId="0" fontId="35" fillId="0" borderId="10" applyNumberFormat="0" applyFill="0" applyAlignment="0" applyProtection="0"/>
    <xf numFmtId="0" fontId="36" fillId="0" borderId="11" applyNumberFormat="0" applyFill="0" applyAlignment="0" applyProtection="0"/>
    <xf numFmtId="0" fontId="37" fillId="0" borderId="12" applyNumberFormat="0" applyFill="0" applyAlignment="0" applyProtection="0"/>
    <xf numFmtId="0" fontId="37" fillId="0" borderId="0" applyNumberFormat="0" applyFill="0" applyBorder="0" applyAlignment="0" applyProtection="0"/>
    <xf numFmtId="0" fontId="38" fillId="0" borderId="13" applyNumberFormat="0" applyFill="0" applyAlignment="0" applyProtection="0"/>
    <xf numFmtId="0" fontId="39" fillId="0" borderId="0" applyNumberFormat="0" applyFill="0" applyBorder="0" applyAlignment="0" applyProtection="0"/>
    <xf numFmtId="0" fontId="40" fillId="32" borderId="14" applyNumberFormat="0" applyAlignment="0" applyProtection="0"/>
  </cellStyleXfs>
  <cellXfs count="202">
    <xf numFmtId="0" fontId="0" fillId="0" borderId="0" xfId="0"/>
    <xf numFmtId="0" fontId="0" fillId="0" borderId="0" xfId="0" applyFill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2" fillId="0" borderId="0" xfId="0" applyFont="1" applyFill="1" applyBorder="1" applyAlignment="1">
      <alignment horizontal="right" vertical="center"/>
    </xf>
    <xf numFmtId="3" fontId="2" fillId="33" borderId="0" xfId="0" applyNumberFormat="1" applyFont="1" applyFill="1" applyBorder="1" applyAlignment="1">
      <alignment horizontal="center" vertical="center"/>
    </xf>
    <xf numFmtId="0" fontId="2" fillId="0" borderId="0" xfId="36" applyFill="1" applyAlignment="1">
      <alignment vertical="center"/>
    </xf>
    <xf numFmtId="0" fontId="2" fillId="0" borderId="0" xfId="36" applyFont="1" applyFill="1" applyAlignment="1">
      <alignment horizontal="center" vertical="center"/>
    </xf>
    <xf numFmtId="0" fontId="2" fillId="0" borderId="0" xfId="36" applyFill="1" applyAlignment="1">
      <alignment horizontal="center" vertical="center"/>
    </xf>
    <xf numFmtId="1" fontId="2" fillId="0" borderId="0" xfId="36" applyNumberFormat="1" applyFont="1" applyFill="1" applyAlignment="1">
      <alignment horizontal="center" vertical="center"/>
    </xf>
    <xf numFmtId="167" fontId="2" fillId="0" borderId="0" xfId="36" applyNumberFormat="1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right" vertical="center"/>
    </xf>
    <xf numFmtId="0" fontId="2" fillId="0" borderId="0" xfId="0" applyFont="1" applyAlignment="1">
      <alignment horizontal="right" vertical="center"/>
    </xf>
    <xf numFmtId="167" fontId="2" fillId="0" borderId="0" xfId="36" applyNumberFormat="1" applyFill="1" applyAlignment="1">
      <alignment horizontal="center" vertical="center"/>
    </xf>
    <xf numFmtId="170" fontId="2" fillId="0" borderId="0" xfId="36" applyNumberFormat="1" applyFill="1" applyAlignment="1">
      <alignment horizontal="center" vertical="center"/>
    </xf>
    <xf numFmtId="0" fontId="2" fillId="0" borderId="0" xfId="36" applyFill="1" applyBorder="1" applyAlignment="1">
      <alignment vertical="center"/>
    </xf>
    <xf numFmtId="0" fontId="2" fillId="0" borderId="0" xfId="36" applyFont="1" applyFill="1" applyBorder="1" applyAlignment="1">
      <alignment horizontal="right" vertical="center"/>
    </xf>
    <xf numFmtId="0" fontId="2" fillId="0" borderId="0" xfId="36" applyFill="1" applyBorder="1" applyAlignment="1">
      <alignment horizontal="center" vertical="center"/>
    </xf>
    <xf numFmtId="0" fontId="2" fillId="0" borderId="0" xfId="36" applyFont="1" applyFill="1" applyBorder="1" applyAlignment="1">
      <alignment vertical="center"/>
    </xf>
    <xf numFmtId="174" fontId="2" fillId="0" borderId="0" xfId="36" applyNumberFormat="1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12" fillId="0" borderId="1" xfId="0" applyFont="1" applyFill="1" applyBorder="1" applyAlignment="1">
      <alignment horizontal="right" vertical="center"/>
    </xf>
    <xf numFmtId="0" fontId="12" fillId="0" borderId="0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2" fillId="0" borderId="0" xfId="0" applyFont="1" applyFill="1" applyAlignment="1">
      <alignment vertical="center"/>
    </xf>
    <xf numFmtId="0" fontId="16" fillId="0" borderId="1" xfId="0" applyFont="1" applyFill="1" applyBorder="1" applyAlignment="1">
      <alignment horizontal="right" vertical="center"/>
    </xf>
    <xf numFmtId="0" fontId="16" fillId="0" borderId="1" xfId="43" applyFont="1" applyFill="1" applyBorder="1" applyAlignment="1">
      <alignment horizontal="right" vertical="center"/>
    </xf>
    <xf numFmtId="2" fontId="16" fillId="0" borderId="1" xfId="43" applyNumberFormat="1" applyFont="1" applyFill="1" applyBorder="1" applyAlignment="1">
      <alignment horizontal="right" vertical="center"/>
    </xf>
    <xf numFmtId="2" fontId="16" fillId="0" borderId="1" xfId="43" applyNumberFormat="1" applyFont="1" applyFill="1" applyBorder="1" applyAlignment="1">
      <alignment horizontal="right" vertical="center" wrapText="1"/>
    </xf>
    <xf numFmtId="2" fontId="16" fillId="0" borderId="0" xfId="43" applyNumberFormat="1" applyFont="1" applyFill="1" applyBorder="1" applyAlignment="1">
      <alignment horizontal="right" vertical="center" wrapText="1"/>
    </xf>
    <xf numFmtId="0" fontId="6" fillId="0" borderId="3" xfId="0" applyFont="1" applyFill="1" applyBorder="1" applyAlignment="1">
      <alignment horizontal="right" vertical="center"/>
    </xf>
    <xf numFmtId="0" fontId="3" fillId="0" borderId="4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right" vertical="center" wrapText="1"/>
    </xf>
    <xf numFmtId="0" fontId="12" fillId="0" borderId="0" xfId="0" applyFont="1" applyFill="1" applyBorder="1" applyAlignment="1" applyProtection="1">
      <alignment horizontal="center" vertical="center"/>
    </xf>
    <xf numFmtId="0" fontId="12" fillId="0" borderId="0" xfId="0" applyFont="1" applyFill="1" applyBorder="1" applyAlignment="1" applyProtection="1">
      <alignment vertical="center"/>
    </xf>
    <xf numFmtId="0" fontId="7" fillId="0" borderId="0" xfId="0" applyFont="1" applyFill="1" applyBorder="1" applyAlignment="1" applyProtection="1">
      <alignment horizontal="right" vertical="center" wrapText="1"/>
    </xf>
    <xf numFmtId="0" fontId="12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right" vertical="center"/>
    </xf>
    <xf numFmtId="0" fontId="2" fillId="0" borderId="0" xfId="0" applyFont="1" applyFill="1" applyBorder="1" applyAlignment="1" applyProtection="1">
      <alignment horizontal="right" vertical="center"/>
    </xf>
    <xf numFmtId="0" fontId="19" fillId="0" borderId="0" xfId="0" applyFont="1" applyFill="1" applyBorder="1" applyAlignment="1" applyProtection="1">
      <alignment horizontal="center" vertical="center"/>
    </xf>
    <xf numFmtId="0" fontId="19" fillId="0" borderId="0" xfId="0" applyFont="1" applyFill="1" applyBorder="1" applyAlignment="1" applyProtection="1">
      <alignment vertical="center"/>
    </xf>
    <xf numFmtId="0" fontId="7" fillId="0" borderId="0" xfId="43" applyFont="1" applyFill="1" applyBorder="1" applyAlignment="1" applyProtection="1">
      <alignment horizontal="right" vertical="center"/>
    </xf>
    <xf numFmtId="2" fontId="7" fillId="0" borderId="0" xfId="43" applyNumberFormat="1" applyFont="1" applyFill="1" applyBorder="1" applyAlignment="1" applyProtection="1">
      <alignment horizontal="right" vertical="center"/>
    </xf>
    <xf numFmtId="2" fontId="12" fillId="0" borderId="0" xfId="0" applyNumberFormat="1" applyFont="1" applyFill="1" applyBorder="1" applyAlignment="1" applyProtection="1">
      <alignment horizontal="center" vertical="center"/>
    </xf>
    <xf numFmtId="0" fontId="12" fillId="0" borderId="0" xfId="0" applyFont="1" applyFill="1" applyBorder="1" applyAlignment="1" applyProtection="1">
      <alignment horizontal="right" vertical="center"/>
    </xf>
    <xf numFmtId="0" fontId="0" fillId="0" borderId="0" xfId="0" applyBorder="1"/>
    <xf numFmtId="0" fontId="12" fillId="34" borderId="0" xfId="0" applyFont="1" applyFill="1" applyBorder="1" applyAlignment="1" applyProtection="1">
      <alignment vertical="center"/>
    </xf>
    <xf numFmtId="0" fontId="16" fillId="34" borderId="0" xfId="0" applyFont="1" applyFill="1" applyBorder="1" applyAlignment="1" applyProtection="1">
      <alignment vertical="top" wrapText="1"/>
    </xf>
    <xf numFmtId="0" fontId="12" fillId="34" borderId="0" xfId="0" applyFont="1" applyFill="1" applyBorder="1" applyAlignment="1" applyProtection="1">
      <alignment horizontal="center" vertical="center"/>
    </xf>
    <xf numFmtId="0" fontId="12" fillId="34" borderId="0" xfId="0" applyFont="1" applyFill="1" applyBorder="1" applyAlignment="1" applyProtection="1">
      <alignment horizontal="center" vertical="center" textRotation="90" wrapText="1"/>
    </xf>
    <xf numFmtId="0" fontId="7" fillId="34" borderId="0" xfId="0" applyFont="1" applyFill="1" applyBorder="1" applyAlignment="1" applyProtection="1">
      <alignment horizontal="right" vertical="center"/>
    </xf>
    <xf numFmtId="3" fontId="7" fillId="34" borderId="0" xfId="0" applyNumberFormat="1" applyFont="1" applyFill="1" applyBorder="1" applyAlignment="1" applyProtection="1">
      <alignment horizontal="center" vertical="center"/>
    </xf>
    <xf numFmtId="0" fontId="7" fillId="34" borderId="0" xfId="0" applyFont="1" applyFill="1" applyBorder="1" applyAlignment="1" applyProtection="1">
      <alignment horizontal="center" vertical="center"/>
    </xf>
    <xf numFmtId="0" fontId="7" fillId="34" borderId="0" xfId="0" applyFont="1" applyFill="1" applyBorder="1" applyAlignment="1" applyProtection="1">
      <alignment horizontal="right" vertical="center" wrapText="1"/>
    </xf>
    <xf numFmtId="0" fontId="12" fillId="34" borderId="0" xfId="0" applyFont="1" applyFill="1" applyBorder="1" applyAlignment="1" applyProtection="1">
      <alignment horizontal="center" vertical="center" wrapText="1"/>
    </xf>
    <xf numFmtId="2" fontId="7" fillId="34" borderId="0" xfId="0" applyNumberFormat="1" applyFont="1" applyFill="1" applyBorder="1" applyAlignment="1" applyProtection="1">
      <alignment horizontal="center" vertical="center"/>
    </xf>
    <xf numFmtId="0" fontId="12" fillId="34" borderId="0" xfId="0" applyFont="1" applyFill="1" applyBorder="1" applyAlignment="1" applyProtection="1">
      <alignment horizontal="right" vertical="center"/>
    </xf>
    <xf numFmtId="0" fontId="2" fillId="34" borderId="0" xfId="0" applyFont="1" applyFill="1" applyBorder="1" applyAlignment="1" applyProtection="1">
      <alignment horizontal="right" vertical="center"/>
    </xf>
    <xf numFmtId="166" fontId="2" fillId="34" borderId="0" xfId="0" applyNumberFormat="1" applyFont="1" applyFill="1" applyBorder="1" applyAlignment="1" applyProtection="1">
      <alignment horizontal="center" vertical="center"/>
    </xf>
    <xf numFmtId="0" fontId="11" fillId="0" borderId="0" xfId="0" applyFont="1" applyFill="1" applyBorder="1" applyAlignment="1" applyProtection="1">
      <alignment horizontal="center" vertical="center" wrapText="1"/>
    </xf>
    <xf numFmtId="1" fontId="12" fillId="0" borderId="0" xfId="0" applyNumberFormat="1" applyFont="1" applyFill="1" applyBorder="1" applyAlignment="1" applyProtection="1">
      <alignment horizontal="center" vertical="center"/>
    </xf>
    <xf numFmtId="171" fontId="12" fillId="0" borderId="0" xfId="0" applyNumberFormat="1" applyFont="1" applyFill="1" applyBorder="1" applyAlignment="1" applyProtection="1">
      <alignment horizontal="center" vertical="center"/>
    </xf>
    <xf numFmtId="0" fontId="11" fillId="0" borderId="0" xfId="0" applyFont="1" applyFill="1" applyBorder="1" applyAlignment="1" applyProtection="1">
      <alignment vertical="center" wrapText="1"/>
    </xf>
    <xf numFmtId="0" fontId="11" fillId="0" borderId="0" xfId="0" applyFont="1" applyFill="1" applyBorder="1" applyAlignment="1" applyProtection="1">
      <alignment vertical="center"/>
    </xf>
    <xf numFmtId="0" fontId="16" fillId="34" borderId="0" xfId="0" applyFont="1" applyFill="1" applyBorder="1" applyAlignment="1" applyProtection="1">
      <alignment horizontal="center" vertical="center" wrapText="1"/>
    </xf>
    <xf numFmtId="1" fontId="12" fillId="0" borderId="0" xfId="0" applyNumberFormat="1" applyFont="1" applyFill="1" applyBorder="1" applyAlignment="1" applyProtection="1">
      <alignment horizontal="center" vertical="center" wrapText="1"/>
    </xf>
    <xf numFmtId="1" fontId="12" fillId="0" borderId="0" xfId="0" applyNumberFormat="1" applyFont="1" applyFill="1" applyBorder="1" applyAlignment="1" applyProtection="1">
      <alignment horizontal="left" vertical="center"/>
    </xf>
    <xf numFmtId="167" fontId="12" fillId="0" borderId="0" xfId="0" applyNumberFormat="1" applyFont="1" applyFill="1" applyBorder="1" applyAlignment="1" applyProtection="1">
      <alignment horizontal="center" vertical="center"/>
    </xf>
    <xf numFmtId="0" fontId="2" fillId="0" borderId="0" xfId="0" applyFont="1" applyAlignment="1">
      <alignment horizontal="right" vertical="center" wrapText="1"/>
    </xf>
    <xf numFmtId="170" fontId="0" fillId="0" borderId="0" xfId="0" applyNumberFormat="1" applyAlignment="1">
      <alignment horizontal="center" vertical="center"/>
    </xf>
    <xf numFmtId="0" fontId="2" fillId="0" borderId="0" xfId="0" applyFont="1" applyFill="1" applyBorder="1" applyAlignment="1" applyProtection="1">
      <alignment horizontal="center" vertical="center" wrapText="1"/>
    </xf>
    <xf numFmtId="0" fontId="12" fillId="0" borderId="0" xfId="36" applyFont="1" applyFill="1" applyBorder="1" applyAlignment="1">
      <alignment vertical="center"/>
    </xf>
    <xf numFmtId="0" fontId="0" fillId="34" borderId="0" xfId="0" applyFill="1" applyAlignment="1">
      <alignment horizontal="center" vertical="center"/>
    </xf>
    <xf numFmtId="0" fontId="2" fillId="34" borderId="0" xfId="0" applyFont="1" applyFill="1" applyAlignment="1">
      <alignment horizontal="right" vertical="center"/>
    </xf>
    <xf numFmtId="3" fontId="0" fillId="34" borderId="0" xfId="0" applyNumberFormat="1" applyFill="1" applyAlignment="1">
      <alignment horizontal="center" vertical="center"/>
    </xf>
    <xf numFmtId="166" fontId="0" fillId="34" borderId="0" xfId="0" applyNumberFormat="1" applyFill="1" applyAlignment="1">
      <alignment horizontal="center" vertical="center"/>
    </xf>
    <xf numFmtId="167" fontId="0" fillId="34" borderId="0" xfId="0" applyNumberFormat="1" applyFill="1" applyAlignment="1">
      <alignment horizontal="center" vertical="center"/>
    </xf>
    <xf numFmtId="0" fontId="0" fillId="34" borderId="0" xfId="0" applyFill="1" applyAlignment="1">
      <alignment horizontal="right" vertical="center"/>
    </xf>
    <xf numFmtId="0" fontId="2" fillId="34" borderId="0" xfId="0" applyFont="1" applyFill="1" applyBorder="1" applyAlignment="1" applyProtection="1">
      <alignment horizontal="center" vertical="center" wrapText="1"/>
    </xf>
    <xf numFmtId="168" fontId="12" fillId="35" borderId="2" xfId="43" applyNumberFormat="1" applyFont="1" applyFill="1" applyBorder="1" applyAlignment="1">
      <alignment horizontal="center" vertical="center"/>
    </xf>
    <xf numFmtId="0" fontId="12" fillId="35" borderId="0" xfId="43" applyFont="1" applyFill="1" applyBorder="1" applyAlignment="1">
      <alignment horizontal="center" vertical="center" wrapText="1"/>
    </xf>
    <xf numFmtId="0" fontId="12" fillId="35" borderId="0" xfId="43" applyFont="1" applyFill="1" applyBorder="1" applyAlignment="1">
      <alignment horizontal="center" vertical="center"/>
    </xf>
    <xf numFmtId="168" fontId="12" fillId="35" borderId="0" xfId="43" applyNumberFormat="1" applyFont="1" applyFill="1" applyBorder="1" applyAlignment="1">
      <alignment horizontal="center" vertical="center"/>
    </xf>
    <xf numFmtId="0" fontId="12" fillId="35" borderId="4" xfId="0" applyFont="1" applyFill="1" applyBorder="1" applyAlignment="1">
      <alignment horizontal="center" vertical="center"/>
    </xf>
    <xf numFmtId="0" fontId="12" fillId="35" borderId="0" xfId="0" applyFont="1" applyFill="1" applyBorder="1" applyAlignment="1" applyProtection="1">
      <alignment horizontal="center" vertical="center"/>
      <protection locked="0"/>
    </xf>
    <xf numFmtId="171" fontId="12" fillId="33" borderId="0" xfId="0" applyNumberFormat="1" applyFont="1" applyFill="1" applyBorder="1" applyAlignment="1">
      <alignment horizontal="center" vertical="center"/>
    </xf>
    <xf numFmtId="166" fontId="6" fillId="33" borderId="4" xfId="0" applyNumberFormat="1" applyFont="1" applyFill="1" applyBorder="1" applyAlignment="1">
      <alignment horizontal="center" vertical="center"/>
    </xf>
    <xf numFmtId="166" fontId="12" fillId="35" borderId="0" xfId="0" applyNumberFormat="1" applyFont="1" applyFill="1" applyBorder="1" applyAlignment="1" applyProtection="1">
      <alignment horizontal="center" vertical="center"/>
      <protection locked="0"/>
    </xf>
    <xf numFmtId="166" fontId="12" fillId="35" borderId="0" xfId="0" applyNumberFormat="1" applyFont="1" applyFill="1" applyBorder="1" applyAlignment="1" applyProtection="1">
      <alignment horizontal="center" vertical="center"/>
    </xf>
    <xf numFmtId="3" fontId="12" fillId="35" borderId="0" xfId="0" applyNumberFormat="1" applyFont="1" applyFill="1" applyBorder="1" applyAlignment="1">
      <alignment horizontal="center" vertical="center"/>
    </xf>
    <xf numFmtId="2" fontId="12" fillId="35" borderId="0" xfId="0" applyNumberFormat="1" applyFont="1" applyFill="1" applyBorder="1" applyAlignment="1" applyProtection="1">
      <alignment horizontal="center" vertical="center"/>
      <protection locked="0"/>
    </xf>
    <xf numFmtId="3" fontId="7" fillId="35" borderId="0" xfId="0" applyNumberFormat="1" applyFont="1" applyFill="1" applyBorder="1" applyAlignment="1" applyProtection="1">
      <alignment horizontal="center" vertical="center"/>
    </xf>
    <xf numFmtId="0" fontId="12" fillId="34" borderId="0" xfId="0" applyFont="1" applyFill="1" applyBorder="1" applyAlignment="1">
      <alignment horizontal="right" vertical="center" wrapText="1"/>
    </xf>
    <xf numFmtId="0" fontId="2" fillId="34" borderId="0" xfId="0" applyFont="1" applyFill="1" applyBorder="1" applyAlignment="1">
      <alignment horizontal="center" vertical="center"/>
    </xf>
    <xf numFmtId="2" fontId="12" fillId="34" borderId="0" xfId="0" applyNumberFormat="1" applyFont="1" applyFill="1" applyBorder="1" applyAlignment="1" applyProtection="1">
      <alignment horizontal="center" vertical="center"/>
      <protection locked="0"/>
    </xf>
    <xf numFmtId="0" fontId="0" fillId="34" borderId="0" xfId="0" applyFill="1" applyAlignment="1">
      <alignment vertical="center"/>
    </xf>
    <xf numFmtId="0" fontId="12" fillId="34" borderId="0" xfId="0" applyFont="1" applyFill="1" applyAlignment="1">
      <alignment vertical="center"/>
    </xf>
    <xf numFmtId="0" fontId="12" fillId="34" borderId="0" xfId="0" applyFont="1" applyFill="1" applyAlignment="1">
      <alignment horizontal="center" vertical="center"/>
    </xf>
    <xf numFmtId="165" fontId="12" fillId="0" borderId="2" xfId="0" applyNumberFormat="1" applyFont="1" applyFill="1" applyBorder="1" applyAlignment="1">
      <alignment horizontal="center" vertical="center"/>
    </xf>
    <xf numFmtId="0" fontId="16" fillId="34" borderId="1" xfId="43" applyFont="1" applyFill="1" applyBorder="1" applyAlignment="1">
      <alignment horizontal="right" vertical="center"/>
    </xf>
    <xf numFmtId="167" fontId="12" fillId="34" borderId="0" xfId="0" applyNumberFormat="1" applyFont="1" applyFill="1" applyBorder="1" applyAlignment="1">
      <alignment horizontal="center" vertical="center"/>
    </xf>
    <xf numFmtId="0" fontId="12" fillId="34" borderId="0" xfId="43" applyFont="1" applyFill="1" applyBorder="1" applyAlignment="1">
      <alignment horizontal="center" vertical="center"/>
    </xf>
    <xf numFmtId="2" fontId="12" fillId="35" borderId="0" xfId="0" applyNumberFormat="1" applyFont="1" applyFill="1" applyBorder="1" applyAlignment="1">
      <alignment horizontal="center" vertical="center"/>
    </xf>
    <xf numFmtId="167" fontId="12" fillId="35" borderId="0" xfId="0" applyNumberFormat="1" applyFont="1" applyFill="1" applyBorder="1" applyAlignment="1">
      <alignment horizontal="center" vertical="center"/>
    </xf>
    <xf numFmtId="2" fontId="12" fillId="35" borderId="0" xfId="43" applyNumberFormat="1" applyFont="1" applyFill="1" applyBorder="1" applyAlignment="1">
      <alignment horizontal="center" vertical="center" wrapText="1"/>
    </xf>
    <xf numFmtId="167" fontId="12" fillId="35" borderId="0" xfId="43" applyNumberFormat="1" applyFont="1" applyFill="1" applyBorder="1" applyAlignment="1">
      <alignment horizontal="center" vertical="center" wrapText="1"/>
    </xf>
    <xf numFmtId="4" fontId="12" fillId="35" borderId="0" xfId="0" applyNumberFormat="1" applyFont="1" applyFill="1" applyBorder="1" applyAlignment="1">
      <alignment horizontal="center" vertical="center"/>
    </xf>
    <xf numFmtId="14" fontId="12" fillId="33" borderId="0" xfId="0" applyNumberFormat="1" applyFont="1" applyFill="1" applyBorder="1" applyAlignment="1" applyProtection="1">
      <alignment horizontal="center" vertical="center" wrapText="1"/>
    </xf>
    <xf numFmtId="0" fontId="12" fillId="33" borderId="0" xfId="0" applyFont="1" applyFill="1" applyBorder="1" applyAlignment="1" applyProtection="1">
      <alignment horizontal="center" vertical="center" wrapText="1"/>
    </xf>
    <xf numFmtId="166" fontId="7" fillId="33" borderId="0" xfId="0" applyNumberFormat="1" applyFont="1" applyFill="1" applyBorder="1" applyAlignment="1" applyProtection="1">
      <alignment horizontal="center" vertical="center"/>
    </xf>
    <xf numFmtId="2" fontId="7" fillId="33" borderId="0" xfId="0" applyNumberFormat="1" applyFont="1" applyFill="1" applyBorder="1" applyAlignment="1" applyProtection="1">
      <alignment horizontal="center" vertical="center"/>
    </xf>
    <xf numFmtId="166" fontId="2" fillId="33" borderId="0" xfId="0" applyNumberFormat="1" applyFont="1" applyFill="1" applyBorder="1" applyAlignment="1" applyProtection="1">
      <alignment horizontal="center" vertical="center"/>
    </xf>
    <xf numFmtId="3" fontId="7" fillId="33" borderId="0" xfId="0" applyNumberFormat="1" applyFont="1" applyFill="1" applyBorder="1" applyAlignment="1" applyProtection="1">
      <alignment horizontal="center" vertical="center"/>
    </xf>
    <xf numFmtId="167" fontId="7" fillId="33" borderId="0" xfId="0" applyNumberFormat="1" applyFont="1" applyFill="1" applyBorder="1" applyAlignment="1" applyProtection="1">
      <alignment horizontal="center" vertical="center"/>
    </xf>
    <xf numFmtId="166" fontId="2" fillId="33" borderId="0" xfId="0" applyNumberFormat="1" applyFont="1" applyFill="1" applyBorder="1" applyAlignment="1">
      <alignment horizontal="center" vertical="center"/>
    </xf>
    <xf numFmtId="2" fontId="2" fillId="33" borderId="0" xfId="0" applyNumberFormat="1" applyFont="1" applyFill="1" applyBorder="1" applyAlignment="1">
      <alignment horizontal="center" vertical="center"/>
    </xf>
    <xf numFmtId="3" fontId="0" fillId="33" borderId="0" xfId="0" applyNumberFormat="1" applyFill="1" applyBorder="1" applyAlignment="1">
      <alignment horizontal="center" vertical="center"/>
    </xf>
    <xf numFmtId="2" fontId="12" fillId="33" borderId="0" xfId="0" applyNumberFormat="1" applyFont="1" applyFill="1" applyBorder="1" applyAlignment="1">
      <alignment horizontal="center" vertical="center"/>
    </xf>
    <xf numFmtId="0" fontId="0" fillId="35" borderId="0" xfId="0" applyFill="1" applyAlignment="1">
      <alignment horizontal="center" vertical="center"/>
    </xf>
    <xf numFmtId="166" fontId="0" fillId="33" borderId="0" xfId="0" applyNumberFormat="1" applyFill="1" applyAlignment="1">
      <alignment horizontal="center" vertical="center"/>
    </xf>
    <xf numFmtId="3" fontId="0" fillId="33" borderId="0" xfId="0" applyNumberFormat="1" applyFill="1" applyAlignment="1">
      <alignment horizontal="center" vertical="center"/>
    </xf>
    <xf numFmtId="0" fontId="0" fillId="33" borderId="0" xfId="0" applyFill="1" applyAlignment="1">
      <alignment horizontal="center" vertical="center"/>
    </xf>
    <xf numFmtId="0" fontId="2" fillId="0" borderId="0" xfId="36" applyFont="1" applyFill="1" applyAlignment="1">
      <alignment horizontal="right" vertical="center"/>
    </xf>
    <xf numFmtId="0" fontId="2" fillId="0" borderId="0" xfId="36" applyFont="1" applyFill="1" applyAlignment="1">
      <alignment vertical="center"/>
    </xf>
    <xf numFmtId="0" fontId="2" fillId="0" borderId="0" xfId="36" applyFill="1" applyAlignment="1">
      <alignment horizontal="right" vertical="center"/>
    </xf>
    <xf numFmtId="169" fontId="2" fillId="0" borderId="0" xfId="36" applyNumberFormat="1" applyFill="1" applyAlignment="1">
      <alignment vertical="center"/>
    </xf>
    <xf numFmtId="173" fontId="2" fillId="0" borderId="0" xfId="36" applyNumberFormat="1" applyFont="1" applyFill="1"/>
    <xf numFmtId="171" fontId="2" fillId="0" borderId="0" xfId="36" applyNumberFormat="1" applyFill="1" applyAlignment="1">
      <alignment horizontal="center" vertical="center"/>
    </xf>
    <xf numFmtId="3" fontId="2" fillId="0" borderId="0" xfId="36" applyNumberFormat="1" applyFont="1" applyFill="1" applyAlignment="1">
      <alignment horizontal="center" vertical="center"/>
    </xf>
    <xf numFmtId="175" fontId="2" fillId="0" borderId="0" xfId="36" applyNumberFormat="1" applyFill="1" applyAlignment="1">
      <alignment horizontal="center" vertical="center"/>
    </xf>
    <xf numFmtId="3" fontId="2" fillId="0" borderId="0" xfId="32" applyNumberFormat="1" applyFont="1" applyFill="1" applyAlignment="1">
      <alignment vertical="center"/>
    </xf>
    <xf numFmtId="172" fontId="2" fillId="0" borderId="0" xfId="36" applyNumberFormat="1" applyFill="1" applyAlignment="1">
      <alignment vertical="center"/>
    </xf>
    <xf numFmtId="172" fontId="2" fillId="0" borderId="0" xfId="36" applyNumberFormat="1" applyFont="1" applyFill="1" applyAlignment="1">
      <alignment horizontal="center" vertical="center"/>
    </xf>
    <xf numFmtId="0" fontId="2" fillId="0" borderId="0" xfId="36" applyFont="1" applyFill="1" applyAlignment="1">
      <alignment horizontal="left" vertical="center"/>
    </xf>
    <xf numFmtId="166" fontId="2" fillId="0" borderId="0" xfId="36" applyNumberFormat="1" applyFill="1" applyAlignment="1">
      <alignment vertical="center"/>
    </xf>
    <xf numFmtId="2" fontId="2" fillId="0" borderId="0" xfId="36" quotePrefix="1" applyNumberFormat="1" applyFont="1" applyFill="1" applyAlignment="1">
      <alignment horizontal="center" vertical="center"/>
    </xf>
    <xf numFmtId="174" fontId="2" fillId="0" borderId="0" xfId="36" applyNumberFormat="1" applyFill="1" applyAlignment="1">
      <alignment vertical="center"/>
    </xf>
    <xf numFmtId="171" fontId="0" fillId="0" borderId="0" xfId="0" applyNumberFormat="1" applyAlignment="1">
      <alignment horizontal="center" vertical="center"/>
    </xf>
    <xf numFmtId="170" fontId="0" fillId="33" borderId="0" xfId="0" applyNumberFormat="1" applyFill="1" applyAlignment="1">
      <alignment horizontal="center" vertical="center"/>
    </xf>
    <xf numFmtId="0" fontId="41" fillId="0" borderId="1" xfId="0" applyFont="1" applyFill="1" applyBorder="1" applyAlignment="1">
      <alignment horizontal="right" vertical="center" wrapText="1"/>
    </xf>
    <xf numFmtId="0" fontId="44" fillId="0" borderId="0" xfId="0" applyFont="1" applyFill="1" applyBorder="1" applyAlignment="1">
      <alignment horizontal="center" vertical="center"/>
    </xf>
    <xf numFmtId="2" fontId="41" fillId="35" borderId="0" xfId="0" applyNumberFormat="1" applyFont="1" applyFill="1" applyBorder="1" applyAlignment="1" applyProtection="1">
      <alignment horizontal="center" vertical="center"/>
      <protection locked="0"/>
    </xf>
    <xf numFmtId="165" fontId="0" fillId="35" borderId="0" xfId="0" applyNumberFormat="1" applyFill="1" applyAlignment="1">
      <alignment horizontal="center" vertical="center"/>
    </xf>
    <xf numFmtId="3" fontId="0" fillId="35" borderId="0" xfId="0" applyNumberFormat="1" applyFill="1" applyAlignment="1">
      <alignment horizontal="center" vertical="center"/>
    </xf>
    <xf numFmtId="2" fontId="0" fillId="33" borderId="0" xfId="0" applyNumberFormat="1" applyFill="1" applyAlignment="1">
      <alignment horizontal="center" vertical="center"/>
    </xf>
    <xf numFmtId="0" fontId="2" fillId="0" borderId="0" xfId="36" applyFill="1" applyAlignment="1">
      <alignment vertical="center" wrapText="1"/>
    </xf>
    <xf numFmtId="176" fontId="0" fillId="33" borderId="0" xfId="0" applyNumberFormat="1" applyFill="1" applyAlignment="1">
      <alignment horizontal="center" vertical="center"/>
    </xf>
    <xf numFmtId="167" fontId="6" fillId="33" borderId="4" xfId="0" applyNumberFormat="1" applyFont="1" applyFill="1" applyBorder="1" applyAlignment="1">
      <alignment horizontal="center" vertical="center"/>
    </xf>
    <xf numFmtId="171" fontId="12" fillId="35" borderId="0" xfId="0" applyNumberFormat="1" applyFont="1" applyFill="1" applyBorder="1" applyAlignment="1" applyProtection="1">
      <alignment horizontal="center" vertical="center"/>
      <protection locked="0"/>
    </xf>
    <xf numFmtId="170" fontId="12" fillId="35" borderId="0" xfId="0" applyNumberFormat="1" applyFont="1" applyFill="1" applyBorder="1" applyAlignment="1" applyProtection="1">
      <alignment horizontal="center" vertical="center"/>
      <protection locked="0"/>
    </xf>
    <xf numFmtId="169" fontId="12" fillId="35" borderId="0" xfId="0" applyNumberFormat="1" applyFont="1" applyFill="1" applyBorder="1" applyAlignment="1" applyProtection="1">
      <alignment horizontal="center" vertical="center"/>
      <protection locked="0"/>
    </xf>
    <xf numFmtId="171" fontId="2" fillId="33" borderId="0" xfId="0" applyNumberFormat="1" applyFont="1" applyFill="1" applyBorder="1" applyAlignment="1" applyProtection="1">
      <alignment horizontal="center" vertical="center"/>
    </xf>
    <xf numFmtId="169" fontId="7" fillId="33" borderId="0" xfId="0" applyNumberFormat="1" applyFont="1" applyFill="1" applyBorder="1" applyAlignment="1" applyProtection="1">
      <alignment horizontal="center" vertical="center"/>
    </xf>
    <xf numFmtId="169" fontId="12" fillId="0" borderId="2" xfId="0" applyNumberFormat="1" applyFont="1" applyFill="1" applyBorder="1" applyAlignment="1">
      <alignment horizontal="center" vertical="center"/>
    </xf>
    <xf numFmtId="167" fontId="0" fillId="33" borderId="0" xfId="0" applyNumberFormat="1" applyFill="1" applyAlignment="1">
      <alignment horizontal="center" vertical="center"/>
    </xf>
    <xf numFmtId="0" fontId="2" fillId="0" borderId="0" xfId="0" applyFont="1" applyFill="1" applyBorder="1" applyAlignment="1" applyProtection="1">
      <alignment vertical="center" wrapText="1"/>
    </xf>
    <xf numFmtId="4" fontId="7" fillId="34" borderId="0" xfId="0" applyNumberFormat="1" applyFont="1" applyFill="1" applyBorder="1" applyAlignment="1" applyProtection="1">
      <alignment horizontal="center" vertical="center"/>
    </xf>
    <xf numFmtId="11" fontId="2" fillId="0" borderId="0" xfId="36" applyNumberFormat="1" applyFill="1" applyAlignment="1">
      <alignment vertical="center"/>
    </xf>
    <xf numFmtId="167" fontId="2" fillId="0" borderId="0" xfId="36" applyNumberFormat="1" applyFill="1" applyAlignment="1">
      <alignment vertical="center"/>
    </xf>
    <xf numFmtId="0" fontId="2" fillId="0" borderId="0" xfId="0" applyFont="1" applyAlignment="1">
      <alignment horizontal="center" vertical="center"/>
    </xf>
    <xf numFmtId="165" fontId="0" fillId="33" borderId="0" xfId="0" applyNumberFormat="1" applyFill="1" applyAlignment="1">
      <alignment horizontal="center" vertical="center"/>
    </xf>
    <xf numFmtId="0" fontId="12" fillId="35" borderId="0" xfId="43" applyFont="1" applyFill="1" applyBorder="1" applyAlignment="1">
      <alignment horizontal="center" vertical="center" wrapText="1"/>
    </xf>
    <xf numFmtId="171" fontId="6" fillId="33" borderId="4" xfId="0" applyNumberFormat="1" applyFont="1" applyFill="1" applyBorder="1" applyAlignment="1">
      <alignment horizontal="center" vertical="center"/>
    </xf>
    <xf numFmtId="166" fontId="0" fillId="35" borderId="0" xfId="0" applyNumberFormat="1" applyFill="1" applyAlignment="1">
      <alignment horizontal="center" vertical="center"/>
    </xf>
    <xf numFmtId="0" fontId="12" fillId="35" borderId="0" xfId="43" applyFont="1" applyFill="1" applyBorder="1" applyAlignment="1">
      <alignment horizontal="center" vertical="center" wrapText="1"/>
    </xf>
    <xf numFmtId="177" fontId="7" fillId="33" borderId="0" xfId="0" applyNumberFormat="1" applyFont="1" applyFill="1" applyBorder="1" applyAlignment="1" applyProtection="1">
      <alignment horizontal="center" vertical="center"/>
    </xf>
    <xf numFmtId="171" fontId="7" fillId="33" borderId="0" xfId="0" applyNumberFormat="1" applyFont="1" applyFill="1" applyBorder="1" applyAlignment="1" applyProtection="1">
      <alignment horizontal="center" vertical="center"/>
    </xf>
    <xf numFmtId="170" fontId="7" fillId="33" borderId="0" xfId="0" applyNumberFormat="1" applyFont="1" applyFill="1" applyBorder="1" applyAlignment="1" applyProtection="1">
      <alignment horizontal="center" vertical="center"/>
    </xf>
    <xf numFmtId="4" fontId="0" fillId="33" borderId="0" xfId="0" applyNumberFormat="1" applyFill="1" applyAlignment="1">
      <alignment horizontal="center" vertical="center"/>
    </xf>
    <xf numFmtId="2" fontId="2" fillId="0" borderId="0" xfId="36" applyNumberFormat="1" applyFill="1" applyAlignment="1">
      <alignment horizontal="center" vertical="center"/>
    </xf>
    <xf numFmtId="177" fontId="2" fillId="0" borderId="0" xfId="36" applyNumberFormat="1" applyFill="1" applyAlignment="1">
      <alignment horizontal="center" vertical="center"/>
    </xf>
    <xf numFmtId="178" fontId="2" fillId="0" borderId="0" xfId="36" applyNumberFormat="1" applyFill="1" applyAlignment="1">
      <alignment horizontal="center" vertical="center"/>
    </xf>
    <xf numFmtId="0" fontId="2" fillId="0" borderId="15" xfId="36" applyFill="1" applyBorder="1" applyAlignment="1">
      <alignment horizontal="center" vertical="center"/>
    </xf>
    <xf numFmtId="167" fontId="2" fillId="0" borderId="15" xfId="36" applyNumberFormat="1" applyFill="1" applyBorder="1" applyAlignment="1">
      <alignment horizontal="center" vertical="center"/>
    </xf>
    <xf numFmtId="2" fontId="2" fillId="0" borderId="0" xfId="36" applyNumberFormat="1" applyFill="1" applyAlignment="1">
      <alignment vertical="center"/>
    </xf>
    <xf numFmtId="0" fontId="2" fillId="0" borderId="0" xfId="0" applyFont="1" applyFill="1" applyBorder="1" applyAlignment="1" applyProtection="1">
      <alignment horizontal="center" vertical="top" wrapText="1"/>
    </xf>
    <xf numFmtId="0" fontId="12" fillId="35" borderId="0" xfId="43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left" vertical="top" wrapText="1"/>
    </xf>
    <xf numFmtId="0" fontId="16" fillId="0" borderId="2" xfId="0" applyFont="1" applyFill="1" applyBorder="1" applyAlignment="1">
      <alignment horizontal="left" vertical="top" wrapText="1"/>
    </xf>
    <xf numFmtId="0" fontId="16" fillId="0" borderId="1" xfId="43" applyFont="1" applyFill="1" applyBorder="1" applyAlignment="1">
      <alignment horizontal="right" vertical="center" wrapText="1"/>
    </xf>
    <xf numFmtId="0" fontId="16" fillId="0" borderId="0" xfId="43" applyFont="1" applyFill="1" applyBorder="1" applyAlignment="1">
      <alignment horizontal="right" vertical="center" wrapText="1"/>
    </xf>
    <xf numFmtId="0" fontId="16" fillId="0" borderId="3" xfId="43" applyFont="1" applyFill="1" applyBorder="1" applyAlignment="1">
      <alignment horizontal="right" vertical="center"/>
    </xf>
    <xf numFmtId="0" fontId="16" fillId="0" borderId="4" xfId="43" applyFont="1" applyFill="1" applyBorder="1" applyAlignment="1">
      <alignment horizontal="right" vertical="center"/>
    </xf>
    <xf numFmtId="0" fontId="16" fillId="0" borderId="5" xfId="43" applyFont="1" applyFill="1" applyBorder="1" applyAlignment="1">
      <alignment horizontal="right" vertical="center" wrapText="1"/>
    </xf>
    <xf numFmtId="0" fontId="16" fillId="0" borderId="2" xfId="43" applyFont="1" applyFill="1" applyBorder="1" applyAlignment="1">
      <alignment horizontal="right" vertical="center" wrapText="1"/>
    </xf>
    <xf numFmtId="0" fontId="19" fillId="0" borderId="0" xfId="0" applyFont="1" applyFill="1" applyBorder="1" applyAlignment="1" applyProtection="1">
      <alignment horizontal="right" vertical="center" wrapText="1"/>
    </xf>
    <xf numFmtId="0" fontId="19" fillId="0" borderId="0" xfId="0" applyFont="1" applyFill="1" applyBorder="1" applyAlignment="1" applyProtection="1">
      <alignment horizontal="right" vertical="center"/>
    </xf>
    <xf numFmtId="0" fontId="12" fillId="0" borderId="0" xfId="0" applyFont="1" applyFill="1" applyBorder="1" applyAlignment="1" applyProtection="1">
      <alignment horizontal="center" vertical="center" textRotation="90" wrapText="1"/>
    </xf>
    <xf numFmtId="0" fontId="3" fillId="0" borderId="0" xfId="0" applyFont="1" applyFill="1" applyBorder="1" applyAlignment="1">
      <alignment horizontal="right" vertical="top" wrapText="1"/>
    </xf>
    <xf numFmtId="0" fontId="3" fillId="0" borderId="0" xfId="0" applyFont="1" applyBorder="1" applyAlignment="1">
      <alignment horizontal="right" vertical="center" wrapText="1"/>
    </xf>
    <xf numFmtId="0" fontId="3" fillId="0" borderId="0" xfId="0" applyFont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19" fillId="0" borderId="0" xfId="0" applyFont="1" applyFill="1" applyBorder="1" applyAlignment="1" applyProtection="1">
      <alignment horizontal="center" vertical="center" wrapText="1"/>
    </xf>
    <xf numFmtId="0" fontId="14" fillId="0" borderId="0" xfId="0" applyFont="1" applyFill="1" applyAlignment="1">
      <alignment horizontal="right" vertical="center" wrapText="1"/>
    </xf>
    <xf numFmtId="0" fontId="2" fillId="0" borderId="0" xfId="0" applyFont="1" applyFill="1" applyBorder="1" applyAlignment="1" applyProtection="1">
      <alignment horizontal="center" vertical="top" wrapText="1"/>
    </xf>
    <xf numFmtId="0" fontId="2" fillId="0" borderId="0" xfId="36" applyFont="1" applyFill="1" applyAlignment="1">
      <alignment horizontal="left" vertical="center"/>
    </xf>
    <xf numFmtId="0" fontId="2" fillId="0" borderId="0" xfId="36" applyFill="1" applyBorder="1" applyAlignment="1">
      <alignment horizontal="center" vertical="center"/>
    </xf>
  </cellXfs>
  <cellStyles count="52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Komma 2" xfId="31"/>
    <cellStyle name="Komma 3" xfId="32"/>
    <cellStyle name="Neutral" xfId="33" builtinId="28" customBuiltin="1"/>
    <cellStyle name="Notiz 2" xfId="34"/>
    <cellStyle name="Schlecht" xfId="35" builtinId="27" customBuiltin="1"/>
    <cellStyle name="Standard" xfId="0" builtinId="0"/>
    <cellStyle name="Standard 2" xfId="36"/>
    <cellStyle name="Standard 2 2" xfId="37"/>
    <cellStyle name="Standard 3" xfId="38"/>
    <cellStyle name="Standard 4" xfId="39"/>
    <cellStyle name="Standard 5" xfId="40"/>
    <cellStyle name="Standard 6" xfId="41"/>
    <cellStyle name="Standard 7" xfId="42"/>
    <cellStyle name="Standard_Untersuchte Brennstoffe" xfId="43"/>
    <cellStyle name="Überschrift" xfId="44" builtinId="15" customBuiltin="1"/>
    <cellStyle name="Überschrift 1" xfId="45" builtinId="16" customBuiltin="1"/>
    <cellStyle name="Überschrift 2" xfId="46" builtinId="17" customBuiltin="1"/>
    <cellStyle name="Überschrift 3" xfId="47" builtinId="18" customBuiltin="1"/>
    <cellStyle name="Überschrift 4" xfId="48" builtinId="19" customBuiltin="1"/>
    <cellStyle name="Verknüpfte Zelle" xfId="49" builtinId="24" customBuiltin="1"/>
    <cellStyle name="Warnender Text" xfId="50" builtinId="11" customBuiltin="1"/>
    <cellStyle name="Zelle überprüfen" xfId="51" builtinId="23" customBuiltin="1"/>
  </cellStyles>
  <dxfs count="9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72"/>
  <sheetViews>
    <sheetView workbookViewId="0">
      <selection activeCell="C14" sqref="C14"/>
    </sheetView>
  </sheetViews>
  <sheetFormatPr baseColWidth="10" defaultColWidth="11.42578125" defaultRowHeight="14.25" x14ac:dyDescent="0.2"/>
  <cols>
    <col min="1" max="1" width="54.7109375" style="29" customWidth="1"/>
    <col min="2" max="2" width="14.85546875" style="25" bestFit="1" customWidth="1"/>
    <col min="3" max="8" width="20.5703125" style="29" customWidth="1"/>
    <col min="9" max="10" width="20.85546875" style="29" customWidth="1"/>
    <col min="11" max="65" width="20.5703125" style="1" customWidth="1"/>
    <col min="66" max="16384" width="11.42578125" style="1"/>
  </cols>
  <sheetData>
    <row r="1" spans="1:10" ht="37.5" customHeight="1" x14ac:dyDescent="0.2">
      <c r="A1" s="188" t="s">
        <v>108</v>
      </c>
      <c r="B1" s="189"/>
      <c r="C1" s="84">
        <v>40074</v>
      </c>
      <c r="D1" s="84">
        <v>40075</v>
      </c>
      <c r="E1" s="84">
        <v>40076</v>
      </c>
      <c r="F1" s="84">
        <v>43898</v>
      </c>
      <c r="G1" s="84">
        <v>44704</v>
      </c>
      <c r="H1" s="84">
        <v>44704</v>
      </c>
      <c r="I1" s="84">
        <v>44704</v>
      </c>
      <c r="J1" s="84">
        <v>44704</v>
      </c>
    </row>
    <row r="2" spans="1:10" ht="37.5" customHeight="1" x14ac:dyDescent="0.2">
      <c r="A2" s="184" t="s">
        <v>173</v>
      </c>
      <c r="B2" s="185"/>
      <c r="C2" s="85" t="s">
        <v>261</v>
      </c>
      <c r="D2" s="85" t="s">
        <v>266</v>
      </c>
      <c r="E2" s="85" t="s">
        <v>268</v>
      </c>
      <c r="F2" s="85" t="s">
        <v>270</v>
      </c>
      <c r="G2" s="85" t="s">
        <v>285</v>
      </c>
      <c r="H2" s="166" t="s">
        <v>286</v>
      </c>
      <c r="I2" s="85" t="s">
        <v>287</v>
      </c>
      <c r="J2" s="169" t="s">
        <v>311</v>
      </c>
    </row>
    <row r="3" spans="1:10" ht="37.5" customHeight="1" x14ac:dyDescent="0.2">
      <c r="A3" s="184" t="s">
        <v>110</v>
      </c>
      <c r="B3" s="185"/>
      <c r="C3" s="85" t="s">
        <v>18</v>
      </c>
      <c r="D3" s="85" t="s">
        <v>18</v>
      </c>
      <c r="E3" s="85" t="s">
        <v>18</v>
      </c>
      <c r="F3" s="85" t="s">
        <v>18</v>
      </c>
      <c r="G3" s="85" t="s">
        <v>275</v>
      </c>
      <c r="H3" s="166" t="s">
        <v>275</v>
      </c>
      <c r="I3" s="85" t="s">
        <v>275</v>
      </c>
      <c r="J3" s="169" t="s">
        <v>275</v>
      </c>
    </row>
    <row r="4" spans="1:10" ht="37.5" customHeight="1" x14ac:dyDescent="0.2">
      <c r="A4" s="184" t="s">
        <v>174</v>
      </c>
      <c r="B4" s="185"/>
      <c r="C4" s="85" t="s">
        <v>257</v>
      </c>
      <c r="D4" s="85" t="s">
        <v>267</v>
      </c>
      <c r="E4" s="85" t="s">
        <v>269</v>
      </c>
      <c r="F4" s="85" t="s">
        <v>271</v>
      </c>
      <c r="G4" s="181" t="s">
        <v>280</v>
      </c>
      <c r="H4" s="181" t="s">
        <v>280</v>
      </c>
      <c r="I4" s="181" t="s">
        <v>288</v>
      </c>
      <c r="J4" s="181" t="s">
        <v>312</v>
      </c>
    </row>
    <row r="5" spans="1:10" ht="37.5" customHeight="1" x14ac:dyDescent="0.2">
      <c r="A5" s="184" t="s">
        <v>0</v>
      </c>
      <c r="B5" s="185"/>
      <c r="C5" s="86" t="s">
        <v>260</v>
      </c>
      <c r="D5" s="86" t="s">
        <v>266</v>
      </c>
      <c r="E5" s="86" t="s">
        <v>268</v>
      </c>
      <c r="F5" s="85"/>
      <c r="G5" s="181"/>
      <c r="H5" s="181"/>
      <c r="I5" s="181"/>
      <c r="J5" s="181"/>
    </row>
    <row r="6" spans="1:10" ht="37.5" customHeight="1" x14ac:dyDescent="0.2">
      <c r="A6" s="184" t="s">
        <v>1</v>
      </c>
      <c r="B6" s="185"/>
      <c r="C6" s="87">
        <v>40077</v>
      </c>
      <c r="D6" s="87">
        <v>40078</v>
      </c>
      <c r="E6" s="87">
        <v>40079</v>
      </c>
      <c r="F6" s="87">
        <v>43898</v>
      </c>
      <c r="G6" s="87"/>
      <c r="H6" s="87"/>
      <c r="I6" s="87"/>
      <c r="J6" s="87"/>
    </row>
    <row r="7" spans="1:10" ht="37.5" customHeight="1" thickBot="1" x14ac:dyDescent="0.25">
      <c r="A7" s="186" t="s">
        <v>172</v>
      </c>
      <c r="B7" s="187"/>
      <c r="C7" s="88" t="s">
        <v>262</v>
      </c>
      <c r="D7" s="88" t="s">
        <v>264</v>
      </c>
      <c r="E7" s="88" t="s">
        <v>265</v>
      </c>
      <c r="F7" s="88"/>
      <c r="G7" s="88"/>
      <c r="H7" s="88"/>
      <c r="I7" s="88"/>
      <c r="J7" s="88"/>
    </row>
    <row r="8" spans="1:10" ht="49.5" customHeight="1" x14ac:dyDescent="0.2">
      <c r="A8" s="182" t="s">
        <v>112</v>
      </c>
      <c r="B8" s="183"/>
      <c r="C8" s="183"/>
      <c r="D8" s="1"/>
      <c r="E8" s="1"/>
      <c r="F8" s="1"/>
      <c r="G8" s="1"/>
      <c r="H8" s="1"/>
      <c r="I8" s="1"/>
      <c r="J8" s="1"/>
    </row>
    <row r="9" spans="1:10" ht="18" customHeight="1" x14ac:dyDescent="0.2">
      <c r="A9" s="26" t="s">
        <v>176</v>
      </c>
      <c r="B9" s="27" t="s">
        <v>9</v>
      </c>
      <c r="C9" s="89">
        <v>270</v>
      </c>
      <c r="D9" s="89">
        <v>270</v>
      </c>
      <c r="E9" s="89">
        <v>270</v>
      </c>
      <c r="F9" s="89">
        <v>270</v>
      </c>
      <c r="G9" s="89"/>
      <c r="H9" s="89"/>
      <c r="I9" s="89"/>
      <c r="J9" s="89"/>
    </row>
    <row r="10" spans="1:10" ht="18" customHeight="1" x14ac:dyDescent="0.2">
      <c r="A10" s="26" t="s">
        <v>177</v>
      </c>
      <c r="B10" s="27" t="s">
        <v>9</v>
      </c>
      <c r="C10" s="89">
        <v>403.3</v>
      </c>
      <c r="D10" s="89">
        <v>403.4</v>
      </c>
      <c r="E10" s="89">
        <v>394.5</v>
      </c>
      <c r="F10" s="89">
        <v>434.2</v>
      </c>
      <c r="G10" s="89"/>
      <c r="H10" s="89"/>
      <c r="I10" s="89"/>
      <c r="J10" s="89"/>
    </row>
    <row r="11" spans="1:10" ht="18" customHeight="1" x14ac:dyDescent="0.2">
      <c r="A11" s="26" t="s">
        <v>178</v>
      </c>
      <c r="B11" s="27" t="s">
        <v>9</v>
      </c>
      <c r="C11" s="89">
        <v>384.9</v>
      </c>
      <c r="D11" s="89">
        <v>384.9</v>
      </c>
      <c r="E11" s="89">
        <v>384.9</v>
      </c>
      <c r="F11" s="89">
        <v>384.9</v>
      </c>
      <c r="G11" s="89"/>
      <c r="H11" s="89"/>
      <c r="I11" s="89"/>
      <c r="J11" s="89"/>
    </row>
    <row r="12" spans="1:10" ht="18" customHeight="1" x14ac:dyDescent="0.2">
      <c r="A12" s="26" t="s">
        <v>179</v>
      </c>
      <c r="B12" s="27" t="s">
        <v>9</v>
      </c>
      <c r="C12" s="89">
        <v>0</v>
      </c>
      <c r="D12" s="89">
        <v>0</v>
      </c>
      <c r="E12" s="89">
        <v>0</v>
      </c>
      <c r="F12" s="89">
        <v>1</v>
      </c>
      <c r="G12" s="89"/>
      <c r="H12" s="89"/>
      <c r="I12" s="89"/>
      <c r="J12" s="89"/>
    </row>
    <row r="13" spans="1:10" ht="18" customHeight="1" x14ac:dyDescent="0.2">
      <c r="A13" s="26" t="s">
        <v>180</v>
      </c>
      <c r="B13" s="27" t="s">
        <v>9</v>
      </c>
      <c r="C13" s="89">
        <v>0</v>
      </c>
      <c r="D13" s="89">
        <v>0</v>
      </c>
      <c r="E13" s="89">
        <v>0</v>
      </c>
      <c r="F13" s="89">
        <v>1</v>
      </c>
      <c r="G13" s="89"/>
      <c r="H13" s="89"/>
      <c r="I13" s="89"/>
      <c r="J13" s="89"/>
    </row>
    <row r="14" spans="1:10" ht="18" customHeight="1" x14ac:dyDescent="0.2">
      <c r="A14" s="26" t="s">
        <v>109</v>
      </c>
      <c r="B14" s="27" t="s">
        <v>9</v>
      </c>
      <c r="C14" s="90">
        <f t="shared" ref="C14:F14" si="0">((C10-C11)-(C12-C13))/(C10-C9)</f>
        <v>0.13803450862715702</v>
      </c>
      <c r="D14" s="90">
        <f t="shared" si="0"/>
        <v>0.13868065967016494</v>
      </c>
      <c r="E14" s="90">
        <f t="shared" si="0"/>
        <v>7.7108433734939946E-2</v>
      </c>
      <c r="F14" s="90">
        <f t="shared" si="0"/>
        <v>0.30024360535931799</v>
      </c>
      <c r="G14" s="90"/>
      <c r="H14" s="90"/>
      <c r="I14" s="90"/>
      <c r="J14" s="90"/>
    </row>
    <row r="15" spans="1:10" ht="31.5" customHeight="1" thickBot="1" x14ac:dyDescent="0.25">
      <c r="A15" s="35" t="s">
        <v>21</v>
      </c>
      <c r="B15" s="36" t="s">
        <v>146</v>
      </c>
      <c r="C15" s="91">
        <f>C14*100</f>
        <v>13.803450862715701</v>
      </c>
      <c r="D15" s="91">
        <f>D14*100</f>
        <v>13.868065967016493</v>
      </c>
      <c r="E15" s="91">
        <f>E14*100</f>
        <v>7.7108433734939945</v>
      </c>
      <c r="F15" s="91">
        <f>F14*100</f>
        <v>30.024360535931798</v>
      </c>
      <c r="G15" s="167">
        <f>200/1000/1000</f>
        <v>2.0000000000000001E-4</v>
      </c>
      <c r="H15" s="167">
        <f>200/1000/1000</f>
        <v>2.0000000000000001E-4</v>
      </c>
      <c r="I15" s="152">
        <v>0</v>
      </c>
      <c r="J15" s="152">
        <v>1</v>
      </c>
    </row>
    <row r="16" spans="1:10" ht="39" customHeight="1" x14ac:dyDescent="0.2">
      <c r="A16" s="182" t="s">
        <v>111</v>
      </c>
      <c r="B16" s="183"/>
      <c r="C16" s="28"/>
      <c r="D16" s="28"/>
      <c r="E16" s="28"/>
      <c r="F16" s="28"/>
      <c r="G16" s="28"/>
      <c r="H16" s="158"/>
      <c r="I16" s="158"/>
      <c r="J16" s="158"/>
    </row>
    <row r="17" spans="1:10" ht="33" customHeight="1" x14ac:dyDescent="0.2">
      <c r="A17" s="37" t="s">
        <v>154</v>
      </c>
      <c r="B17" s="4" t="s">
        <v>147</v>
      </c>
      <c r="C17" s="92">
        <v>79.7</v>
      </c>
      <c r="D17" s="92">
        <v>80.2</v>
      </c>
      <c r="E17" s="92">
        <v>72.599999999999994</v>
      </c>
      <c r="F17" s="92">
        <v>79.7</v>
      </c>
      <c r="G17" s="92">
        <v>100</v>
      </c>
      <c r="H17" s="92">
        <v>100</v>
      </c>
      <c r="I17" s="92">
        <v>100</v>
      </c>
      <c r="J17" s="92">
        <v>100</v>
      </c>
    </row>
    <row r="18" spans="1:10" ht="33" customHeight="1" x14ac:dyDescent="0.2">
      <c r="A18" s="37" t="s">
        <v>153</v>
      </c>
      <c r="B18" s="4" t="s">
        <v>147</v>
      </c>
      <c r="C18" s="93">
        <v>15.6</v>
      </c>
      <c r="D18" s="93">
        <v>15.8</v>
      </c>
      <c r="E18" s="93">
        <v>16.8</v>
      </c>
      <c r="F18" s="93">
        <v>15.6</v>
      </c>
      <c r="G18" s="93"/>
      <c r="H18" s="93"/>
      <c r="I18" s="93"/>
      <c r="J18" s="93"/>
    </row>
    <row r="19" spans="1:10" ht="33" customHeight="1" x14ac:dyDescent="0.2">
      <c r="A19" s="37" t="s">
        <v>157</v>
      </c>
      <c r="B19" s="27" t="s">
        <v>12</v>
      </c>
      <c r="C19" s="94">
        <v>18204</v>
      </c>
      <c r="D19" s="94">
        <v>19058</v>
      </c>
      <c r="E19" s="94">
        <v>17590</v>
      </c>
      <c r="F19" s="94">
        <v>18204</v>
      </c>
      <c r="G19" s="94">
        <f>45.4*1000</f>
        <v>45400</v>
      </c>
      <c r="H19" s="94">
        <f>45.4*1000</f>
        <v>45400</v>
      </c>
      <c r="I19" s="94">
        <f>11.43/Grundtab!$F$121</f>
        <v>52086.075949367085</v>
      </c>
      <c r="J19" s="94">
        <v>50253.114100647726</v>
      </c>
    </row>
    <row r="20" spans="1:10" ht="33" customHeight="1" x14ac:dyDescent="0.2">
      <c r="A20" s="37" t="s">
        <v>152</v>
      </c>
      <c r="B20" s="4" t="s">
        <v>147</v>
      </c>
      <c r="C20" s="95">
        <v>3.14</v>
      </c>
      <c r="D20" s="95">
        <v>3.6</v>
      </c>
      <c r="E20" s="95">
        <v>1.2</v>
      </c>
      <c r="F20" s="95">
        <v>3.14</v>
      </c>
      <c r="G20" s="153">
        <f>200/1000/1000</f>
        <v>2.0000000000000001E-4</v>
      </c>
      <c r="H20" s="153">
        <f>200/1000/1000</f>
        <v>2.0000000000000001E-4</v>
      </c>
      <c r="I20" s="153"/>
      <c r="J20" s="153"/>
    </row>
    <row r="21" spans="1:10" ht="33" customHeight="1" x14ac:dyDescent="0.2">
      <c r="A21" s="37" t="s">
        <v>155</v>
      </c>
      <c r="B21" s="4" t="s">
        <v>147</v>
      </c>
      <c r="C21" s="92">
        <v>46.7</v>
      </c>
      <c r="D21" s="92">
        <v>48.5</v>
      </c>
      <c r="E21" s="92">
        <v>43.6</v>
      </c>
      <c r="F21" s="92">
        <v>46.7</v>
      </c>
      <c r="G21" s="95">
        <f>100-G20-G22-G24-G25-G27</f>
        <v>86.698692999999992</v>
      </c>
      <c r="H21" s="95">
        <f>100-H20-H22-H24-H25-H27</f>
        <v>86.699642999999995</v>
      </c>
      <c r="I21" s="95">
        <f>SUM(Grundtab!$E$125:$E$132)</f>
        <v>71.606999106940236</v>
      </c>
      <c r="J21" s="95">
        <v>81.917058649682616</v>
      </c>
    </row>
    <row r="22" spans="1:10" ht="33" customHeight="1" x14ac:dyDescent="0.2">
      <c r="A22" s="37" t="s">
        <v>156</v>
      </c>
      <c r="B22" s="4" t="s">
        <v>147</v>
      </c>
      <c r="C22" s="95">
        <v>6.23</v>
      </c>
      <c r="D22" s="95">
        <v>5.8</v>
      </c>
      <c r="E22" s="95">
        <v>6.94</v>
      </c>
      <c r="F22" s="95">
        <v>6.23</v>
      </c>
      <c r="G22" s="95">
        <v>13.3</v>
      </c>
      <c r="H22" s="95">
        <v>13.3</v>
      </c>
      <c r="I22" s="95"/>
      <c r="J22" s="95"/>
    </row>
    <row r="23" spans="1:10" ht="33" customHeight="1" x14ac:dyDescent="0.2">
      <c r="A23" s="144" t="s">
        <v>255</v>
      </c>
      <c r="B23" s="145" t="s">
        <v>256</v>
      </c>
      <c r="C23" s="146"/>
      <c r="D23" s="146"/>
      <c r="E23" s="146"/>
      <c r="F23" s="146"/>
      <c r="G23" s="146"/>
      <c r="H23" s="146"/>
      <c r="I23" s="146">
        <f>SUM(Grundtab!$F$125:$F$132)</f>
        <v>25.251202348831356</v>
      </c>
      <c r="J23" s="146">
        <v>18.082577138742039</v>
      </c>
    </row>
    <row r="24" spans="1:10" ht="33" customHeight="1" x14ac:dyDescent="0.2">
      <c r="A24" s="37" t="s">
        <v>158</v>
      </c>
      <c r="B24" s="4" t="s">
        <v>147</v>
      </c>
      <c r="C24" s="95">
        <v>0</v>
      </c>
      <c r="D24" s="95">
        <v>0.1</v>
      </c>
      <c r="E24" s="95">
        <v>1.35</v>
      </c>
      <c r="F24" s="95">
        <v>0.1</v>
      </c>
      <c r="G24" s="155">
        <f>0.0007/100</f>
        <v>6.9999999999999999E-6</v>
      </c>
      <c r="H24" s="155">
        <f>0.0007/100</f>
        <v>6.9999999999999999E-6</v>
      </c>
      <c r="I24" s="95">
        <f>100-I21-I23</f>
        <v>3.1417985442284078</v>
      </c>
      <c r="J24" s="95"/>
    </row>
    <row r="25" spans="1:10" ht="33" customHeight="1" x14ac:dyDescent="0.2">
      <c r="A25" s="37" t="s">
        <v>159</v>
      </c>
      <c r="B25" s="4" t="s">
        <v>147</v>
      </c>
      <c r="C25" s="95">
        <v>0</v>
      </c>
      <c r="D25" s="95">
        <v>0</v>
      </c>
      <c r="E25" s="95">
        <v>0.17</v>
      </c>
      <c r="F25" s="95">
        <v>0.01</v>
      </c>
      <c r="G25" s="155">
        <f>1000/1000/1000</f>
        <v>1E-3</v>
      </c>
      <c r="H25" s="155">
        <f>50/1000/1000</f>
        <v>5.0000000000000002E-5</v>
      </c>
      <c r="I25" s="155"/>
      <c r="J25" s="155"/>
    </row>
    <row r="26" spans="1:10" ht="33" customHeight="1" x14ac:dyDescent="0.2">
      <c r="A26" s="37" t="s">
        <v>160</v>
      </c>
      <c r="B26" s="4" t="s">
        <v>147</v>
      </c>
      <c r="C26" s="95">
        <v>0</v>
      </c>
      <c r="D26" s="95">
        <v>0</v>
      </c>
      <c r="E26" s="95">
        <v>0.37</v>
      </c>
      <c r="F26" s="95">
        <v>0.01</v>
      </c>
      <c r="G26" s="95"/>
      <c r="H26" s="95"/>
      <c r="I26" s="95"/>
      <c r="J26" s="95"/>
    </row>
    <row r="27" spans="1:10" ht="33" customHeight="1" x14ac:dyDescent="0.2">
      <c r="A27" s="37" t="s">
        <v>161</v>
      </c>
      <c r="B27" s="4" t="s">
        <v>147</v>
      </c>
      <c r="C27" s="95">
        <v>1.23</v>
      </c>
      <c r="D27" s="95">
        <v>0.43</v>
      </c>
      <c r="E27" s="95">
        <v>9.39</v>
      </c>
      <c r="F27" s="95">
        <v>1.23</v>
      </c>
      <c r="G27" s="154">
        <f>0.01/100</f>
        <v>1E-4</v>
      </c>
      <c r="H27" s="154">
        <f>0.01/100</f>
        <v>1E-4</v>
      </c>
      <c r="I27" s="154"/>
      <c r="J27" s="154"/>
    </row>
    <row r="28" spans="1:10" s="100" customFormat="1" ht="12.75" customHeight="1" thickBot="1" x14ac:dyDescent="0.25">
      <c r="A28" s="97"/>
      <c r="B28" s="98"/>
      <c r="C28" s="99"/>
      <c r="D28" s="99"/>
      <c r="E28" s="99"/>
      <c r="F28" s="99"/>
      <c r="G28" s="99"/>
      <c r="H28" s="99"/>
      <c r="I28" s="99"/>
      <c r="J28" s="99"/>
    </row>
    <row r="29" spans="1:10" s="15" customFormat="1" ht="48" customHeight="1" x14ac:dyDescent="0.2">
      <c r="A29" s="182" t="s">
        <v>253</v>
      </c>
      <c r="B29" s="183"/>
      <c r="C29" s="103"/>
      <c r="D29" s="103"/>
      <c r="E29" s="103"/>
      <c r="F29" s="103"/>
      <c r="G29" s="103"/>
      <c r="H29" s="103"/>
      <c r="I29" s="103"/>
      <c r="J29" s="103"/>
    </row>
    <row r="30" spans="1:10" s="39" customFormat="1" ht="18" customHeight="1" x14ac:dyDescent="0.2">
      <c r="A30" s="42" t="s">
        <v>148</v>
      </c>
      <c r="B30" s="38" t="s">
        <v>13</v>
      </c>
      <c r="C30" s="96"/>
      <c r="D30" s="96"/>
      <c r="E30" s="96"/>
      <c r="F30" s="96"/>
      <c r="G30" s="96"/>
      <c r="H30" s="96"/>
      <c r="I30" s="96"/>
      <c r="J30" s="96"/>
    </row>
    <row r="31" spans="1:10" s="39" customFormat="1" ht="18" customHeight="1" x14ac:dyDescent="0.2">
      <c r="A31" s="42" t="s">
        <v>151</v>
      </c>
      <c r="B31" s="38" t="s">
        <v>13</v>
      </c>
      <c r="C31" s="96"/>
      <c r="D31" s="96"/>
      <c r="E31" s="96"/>
      <c r="F31" s="96"/>
      <c r="G31" s="96"/>
      <c r="H31" s="96"/>
      <c r="I31" s="96"/>
      <c r="J31" s="96"/>
    </row>
    <row r="32" spans="1:10" s="39" customFormat="1" ht="18" customHeight="1" x14ac:dyDescent="0.2">
      <c r="A32" s="42" t="s">
        <v>149</v>
      </c>
      <c r="B32" s="38" t="s">
        <v>13</v>
      </c>
      <c r="C32" s="96"/>
      <c r="D32" s="96"/>
      <c r="E32" s="96"/>
      <c r="F32" s="96"/>
      <c r="G32" s="96"/>
      <c r="H32" s="96"/>
      <c r="I32" s="96"/>
      <c r="J32" s="96"/>
    </row>
    <row r="33" spans="1:10" s="38" customFormat="1" ht="18" customHeight="1" x14ac:dyDescent="0.2">
      <c r="A33" s="42" t="s">
        <v>150</v>
      </c>
      <c r="B33" s="38" t="s">
        <v>13</v>
      </c>
      <c r="C33" s="96"/>
      <c r="D33" s="96"/>
      <c r="E33" s="96"/>
      <c r="F33" s="96"/>
      <c r="G33" s="96"/>
      <c r="H33" s="96"/>
      <c r="I33" s="96"/>
      <c r="J33" s="96"/>
    </row>
    <row r="34" spans="1:10" s="100" customFormat="1" ht="12.75" customHeight="1" thickBot="1" x14ac:dyDescent="0.25">
      <c r="A34" s="101"/>
      <c r="B34" s="102"/>
      <c r="C34" s="102"/>
      <c r="D34" s="102"/>
      <c r="E34" s="102"/>
      <c r="F34" s="102"/>
      <c r="G34" s="102"/>
      <c r="H34" s="102"/>
      <c r="I34" s="102"/>
      <c r="J34" s="102"/>
    </row>
    <row r="35" spans="1:10" s="15" customFormat="1" ht="48" customHeight="1" x14ac:dyDescent="0.2">
      <c r="A35" s="182" t="s">
        <v>113</v>
      </c>
      <c r="B35" s="183"/>
      <c r="C35" s="103"/>
      <c r="D35" s="103"/>
      <c r="E35" s="103"/>
      <c r="F35" s="103"/>
      <c r="G35" s="103"/>
      <c r="H35" s="103"/>
      <c r="I35" s="103"/>
      <c r="J35" s="103"/>
    </row>
    <row r="36" spans="1:10" s="15" customFormat="1" ht="18" customHeight="1" x14ac:dyDescent="0.2">
      <c r="A36" s="30" t="s">
        <v>114</v>
      </c>
      <c r="B36" s="27" t="s">
        <v>145</v>
      </c>
      <c r="C36" s="107"/>
      <c r="D36" s="107"/>
      <c r="E36" s="107"/>
      <c r="F36" s="107"/>
      <c r="G36" s="107"/>
      <c r="H36" s="107"/>
      <c r="I36" s="107"/>
      <c r="J36" s="107"/>
    </row>
    <row r="37" spans="1:10" s="15" customFormat="1" ht="18" customHeight="1" x14ac:dyDescent="0.2">
      <c r="A37" s="30" t="s">
        <v>139</v>
      </c>
      <c r="B37" s="27" t="s">
        <v>145</v>
      </c>
      <c r="C37" s="107"/>
      <c r="D37" s="107"/>
      <c r="E37" s="107"/>
      <c r="F37" s="107"/>
      <c r="G37" s="107"/>
      <c r="H37" s="107"/>
      <c r="I37" s="107"/>
      <c r="J37" s="107"/>
    </row>
    <row r="38" spans="1:10" s="15" customFormat="1" ht="18" customHeight="1" x14ac:dyDescent="0.2">
      <c r="A38" s="31" t="s">
        <v>115</v>
      </c>
      <c r="B38" s="27" t="s">
        <v>145</v>
      </c>
      <c r="C38" s="108"/>
      <c r="D38" s="108"/>
      <c r="E38" s="108"/>
      <c r="F38" s="108"/>
      <c r="G38" s="108"/>
      <c r="H38" s="108"/>
      <c r="I38" s="108"/>
      <c r="J38" s="108"/>
    </row>
    <row r="39" spans="1:10" s="15" customFormat="1" ht="18" customHeight="1" x14ac:dyDescent="0.2">
      <c r="A39" s="30" t="s">
        <v>14</v>
      </c>
      <c r="B39" s="27" t="s">
        <v>145</v>
      </c>
      <c r="C39" s="107"/>
      <c r="D39" s="107"/>
      <c r="E39" s="107"/>
      <c r="F39" s="107"/>
      <c r="G39" s="107"/>
      <c r="H39" s="107"/>
      <c r="I39" s="107"/>
      <c r="J39" s="107"/>
    </row>
    <row r="40" spans="1:10" s="15" customFormat="1" ht="18" customHeight="1" x14ac:dyDescent="0.2">
      <c r="A40" s="32" t="s">
        <v>116</v>
      </c>
      <c r="B40" s="27" t="s">
        <v>145</v>
      </c>
      <c r="C40" s="107"/>
      <c r="D40" s="107"/>
      <c r="E40" s="107"/>
      <c r="F40" s="107"/>
      <c r="G40" s="107"/>
      <c r="H40" s="107"/>
      <c r="I40" s="107"/>
      <c r="J40" s="107"/>
    </row>
    <row r="41" spans="1:10" s="15" customFormat="1" ht="18" customHeight="1" x14ac:dyDescent="0.2">
      <c r="A41" s="30" t="s">
        <v>117</v>
      </c>
      <c r="B41" s="27" t="s">
        <v>145</v>
      </c>
      <c r="C41" s="107"/>
      <c r="D41" s="107"/>
      <c r="E41" s="107"/>
      <c r="F41" s="107"/>
      <c r="G41" s="107"/>
      <c r="H41" s="107"/>
      <c r="I41" s="107"/>
      <c r="J41" s="107"/>
    </row>
    <row r="42" spans="1:10" s="15" customFormat="1" ht="18" customHeight="1" x14ac:dyDescent="0.2">
      <c r="A42" s="30" t="s">
        <v>118</v>
      </c>
      <c r="B42" s="27" t="s">
        <v>145</v>
      </c>
      <c r="C42" s="107"/>
      <c r="D42" s="107"/>
      <c r="E42" s="107"/>
      <c r="F42" s="107"/>
      <c r="G42" s="107"/>
      <c r="H42" s="107"/>
      <c r="I42" s="107"/>
      <c r="J42" s="107"/>
    </row>
    <row r="43" spans="1:10" s="15" customFormat="1" ht="18" customHeight="1" x14ac:dyDescent="0.2">
      <c r="A43" s="32" t="s">
        <v>119</v>
      </c>
      <c r="B43" s="27" t="s">
        <v>145</v>
      </c>
      <c r="C43" s="108"/>
      <c r="D43" s="108"/>
      <c r="E43" s="108"/>
      <c r="F43" s="108"/>
      <c r="G43" s="108"/>
      <c r="H43" s="108"/>
      <c r="I43" s="108"/>
      <c r="J43" s="108"/>
    </row>
    <row r="44" spans="1:10" s="15" customFormat="1" ht="18" customHeight="1" x14ac:dyDescent="0.2">
      <c r="A44" s="31" t="s">
        <v>120</v>
      </c>
      <c r="B44" s="27" t="s">
        <v>145</v>
      </c>
      <c r="C44" s="108"/>
      <c r="D44" s="108"/>
      <c r="E44" s="108"/>
      <c r="F44" s="108"/>
      <c r="G44" s="108"/>
      <c r="H44" s="108"/>
      <c r="I44" s="108"/>
      <c r="J44" s="108"/>
    </row>
    <row r="45" spans="1:10" s="77" customFormat="1" ht="12.75" customHeight="1" x14ac:dyDescent="0.2">
      <c r="A45" s="104"/>
      <c r="B45" s="106"/>
      <c r="C45" s="105"/>
      <c r="D45" s="105"/>
      <c r="E45" s="105"/>
      <c r="F45" s="105"/>
      <c r="G45" s="105"/>
      <c r="H45" s="105"/>
      <c r="I45" s="105"/>
      <c r="J45" s="105"/>
    </row>
    <row r="46" spans="1:10" s="15" customFormat="1" ht="18" customHeight="1" x14ac:dyDescent="0.2">
      <c r="A46" s="30" t="s">
        <v>137</v>
      </c>
      <c r="B46" s="27" t="s">
        <v>145</v>
      </c>
      <c r="C46" s="122">
        <f>C$36*Grundtab!$B$109</f>
        <v>0</v>
      </c>
      <c r="D46" s="122">
        <f>D$36*Grundtab!$B$109</f>
        <v>0</v>
      </c>
      <c r="E46" s="122">
        <f>E$36*Grundtab!$B$109</f>
        <v>0</v>
      </c>
      <c r="F46" s="122">
        <f>F$36*Grundtab!$B$109</f>
        <v>0</v>
      </c>
      <c r="G46" s="122">
        <f>G$36*Grundtab!$B$109</f>
        <v>0</v>
      </c>
      <c r="H46" s="122"/>
      <c r="I46" s="122"/>
      <c r="J46" s="122"/>
    </row>
    <row r="47" spans="1:10" s="15" customFormat="1" ht="18" customHeight="1" x14ac:dyDescent="0.2">
      <c r="A47" s="30" t="s">
        <v>138</v>
      </c>
      <c r="B47" s="27" t="s">
        <v>145</v>
      </c>
      <c r="C47" s="122">
        <f>C$37*Grundtab!$B$110</f>
        <v>0</v>
      </c>
      <c r="D47" s="122">
        <f>D$37*Grundtab!$B$110</f>
        <v>0</v>
      </c>
      <c r="E47" s="122">
        <f>E$37*Grundtab!$B$110</f>
        <v>0</v>
      </c>
      <c r="F47" s="122">
        <f>F$37*Grundtab!$B$110</f>
        <v>0</v>
      </c>
      <c r="G47" s="122">
        <f>G$37*Grundtab!$B$110</f>
        <v>0</v>
      </c>
      <c r="H47" s="122"/>
      <c r="I47" s="122"/>
      <c r="J47" s="122"/>
    </row>
    <row r="48" spans="1:10" s="15" customFormat="1" ht="18" customHeight="1" x14ac:dyDescent="0.2">
      <c r="A48" s="31" t="s">
        <v>140</v>
      </c>
      <c r="B48" s="27" t="s">
        <v>145</v>
      </c>
      <c r="C48" s="122">
        <f>C$38*Grundtab!$B$111</f>
        <v>0</v>
      </c>
      <c r="D48" s="122">
        <f>D$38*Grundtab!$B$111</f>
        <v>0</v>
      </c>
      <c r="E48" s="122">
        <f>E$38*Grundtab!$B$111</f>
        <v>0</v>
      </c>
      <c r="F48" s="122">
        <f>F$38*Grundtab!$B$111</f>
        <v>0</v>
      </c>
      <c r="G48" s="122">
        <f>G$38*Grundtab!$B$111</f>
        <v>0</v>
      </c>
      <c r="H48" s="122"/>
      <c r="I48" s="122"/>
      <c r="J48" s="122"/>
    </row>
    <row r="49" spans="1:10" s="15" customFormat="1" ht="18" customHeight="1" x14ac:dyDescent="0.2">
      <c r="A49" s="30" t="s">
        <v>51</v>
      </c>
      <c r="B49" s="27" t="s">
        <v>145</v>
      </c>
      <c r="C49" s="122">
        <f>C$39*Grundtab!$B$112</f>
        <v>0</v>
      </c>
      <c r="D49" s="122">
        <f>D$39*Grundtab!$B$112</f>
        <v>0</v>
      </c>
      <c r="E49" s="122">
        <f>E$39*Grundtab!$B$112</f>
        <v>0</v>
      </c>
      <c r="F49" s="122">
        <f>F$39*Grundtab!$B$112</f>
        <v>0</v>
      </c>
      <c r="G49" s="122">
        <f>G$39*Grundtab!$B$112</f>
        <v>0</v>
      </c>
      <c r="H49" s="122"/>
      <c r="I49" s="122"/>
      <c r="J49" s="122"/>
    </row>
    <row r="50" spans="1:10" s="15" customFormat="1" ht="18" customHeight="1" x14ac:dyDescent="0.2">
      <c r="A50" s="32" t="s">
        <v>141</v>
      </c>
      <c r="B50" s="27" t="s">
        <v>145</v>
      </c>
      <c r="C50" s="122">
        <f>C$40*Grundtab!$B$113</f>
        <v>0</v>
      </c>
      <c r="D50" s="122">
        <f>D$40*Grundtab!$B$113</f>
        <v>0</v>
      </c>
      <c r="E50" s="122">
        <f>E$40*Grundtab!$B$113</f>
        <v>0</v>
      </c>
      <c r="F50" s="122">
        <f>F$40*Grundtab!$B$113</f>
        <v>0</v>
      </c>
      <c r="G50" s="122">
        <f>G$40*Grundtab!$B$113</f>
        <v>0</v>
      </c>
      <c r="H50" s="122"/>
      <c r="I50" s="122"/>
      <c r="J50" s="122"/>
    </row>
    <row r="51" spans="1:10" s="15" customFormat="1" ht="18" customHeight="1" x14ac:dyDescent="0.2">
      <c r="A51" s="30" t="s">
        <v>142</v>
      </c>
      <c r="B51" s="27" t="s">
        <v>145</v>
      </c>
      <c r="C51" s="122">
        <f>C$41*Grundtab!$B$114</f>
        <v>0</v>
      </c>
      <c r="D51" s="122">
        <f>D$41*Grundtab!$B$114</f>
        <v>0</v>
      </c>
      <c r="E51" s="122">
        <f>E$41*Grundtab!$B$114</f>
        <v>0</v>
      </c>
      <c r="F51" s="122">
        <f>F$41*Grundtab!$B$114</f>
        <v>0</v>
      </c>
      <c r="G51" s="122">
        <f>G$41*Grundtab!$B$114</f>
        <v>0</v>
      </c>
      <c r="H51" s="122"/>
      <c r="I51" s="122"/>
      <c r="J51" s="122"/>
    </row>
    <row r="52" spans="1:10" s="15" customFormat="1" ht="18" customHeight="1" x14ac:dyDescent="0.2">
      <c r="A52" s="30" t="s">
        <v>143</v>
      </c>
      <c r="B52" s="27" t="s">
        <v>145</v>
      </c>
      <c r="C52" s="122">
        <f>C$42*Grundtab!$B$115</f>
        <v>0</v>
      </c>
      <c r="D52" s="122">
        <f>D$42*Grundtab!$B$115</f>
        <v>0</v>
      </c>
      <c r="E52" s="122">
        <f>E$42*Grundtab!$B$115</f>
        <v>0</v>
      </c>
      <c r="F52" s="122">
        <f>F$42*Grundtab!$B$115</f>
        <v>0</v>
      </c>
      <c r="G52" s="122">
        <f>G$42*Grundtab!$B$115</f>
        <v>0</v>
      </c>
      <c r="H52" s="122"/>
      <c r="I52" s="122"/>
      <c r="J52" s="122"/>
    </row>
    <row r="53" spans="1:10" s="15" customFormat="1" ht="18" customHeight="1" x14ac:dyDescent="0.2">
      <c r="A53" s="32" t="s">
        <v>52</v>
      </c>
      <c r="B53" s="27" t="s">
        <v>145</v>
      </c>
      <c r="C53" s="122">
        <f>C$43*Grundtab!$B$116</f>
        <v>0</v>
      </c>
      <c r="D53" s="122">
        <f>D$43*Grundtab!$B$116</f>
        <v>0</v>
      </c>
      <c r="E53" s="122">
        <f>E$43*Grundtab!$B$116</f>
        <v>0</v>
      </c>
      <c r="F53" s="122">
        <f>F$43*Grundtab!$B$116</f>
        <v>0</v>
      </c>
      <c r="G53" s="122">
        <f>G$43*Grundtab!$B$116</f>
        <v>0</v>
      </c>
      <c r="H53" s="122"/>
      <c r="I53" s="122"/>
      <c r="J53" s="122"/>
    </row>
    <row r="54" spans="1:10" s="15" customFormat="1" ht="18" customHeight="1" thickBot="1" x14ac:dyDescent="0.25">
      <c r="A54" s="31" t="s">
        <v>144</v>
      </c>
      <c r="B54" s="27" t="s">
        <v>145</v>
      </c>
      <c r="C54" s="122">
        <f>C$44*Grundtab!$B$117</f>
        <v>0</v>
      </c>
      <c r="D54" s="122">
        <f>D$44*Grundtab!$B$117</f>
        <v>0</v>
      </c>
      <c r="E54" s="122">
        <f>E$44*Grundtab!$B$117</f>
        <v>0</v>
      </c>
      <c r="F54" s="122">
        <f>F$44*Grundtab!$B$117</f>
        <v>0</v>
      </c>
      <c r="G54" s="122">
        <f>G$44*Grundtab!$B$117</f>
        <v>0</v>
      </c>
      <c r="H54" s="122"/>
      <c r="I54" s="122"/>
      <c r="J54" s="122"/>
    </row>
    <row r="55" spans="1:10" s="15" customFormat="1" ht="48" customHeight="1" x14ac:dyDescent="0.2">
      <c r="A55" s="182" t="s">
        <v>121</v>
      </c>
      <c r="B55" s="183"/>
      <c r="C55" s="103"/>
      <c r="D55" s="103"/>
      <c r="E55" s="103"/>
      <c r="F55" s="103"/>
      <c r="G55" s="103"/>
      <c r="H55" s="103"/>
      <c r="I55" s="103"/>
      <c r="J55" s="103"/>
    </row>
    <row r="56" spans="1:10" s="15" customFormat="1" ht="18" customHeight="1" x14ac:dyDescent="0.2">
      <c r="A56" s="30" t="s">
        <v>122</v>
      </c>
      <c r="B56" s="27" t="s">
        <v>145</v>
      </c>
      <c r="C56" s="108"/>
      <c r="D56" s="108"/>
      <c r="E56" s="108"/>
      <c r="F56" s="108"/>
      <c r="G56" s="108"/>
      <c r="H56" s="108"/>
      <c r="I56" s="108"/>
      <c r="J56" s="108"/>
    </row>
    <row r="57" spans="1:10" s="15" customFormat="1" ht="18" customHeight="1" x14ac:dyDescent="0.2">
      <c r="A57" s="30" t="s">
        <v>128</v>
      </c>
      <c r="B57" s="27" t="s">
        <v>145</v>
      </c>
      <c r="C57" s="108"/>
      <c r="D57" s="108"/>
      <c r="E57" s="108"/>
      <c r="F57" s="108"/>
      <c r="G57" s="108"/>
      <c r="H57" s="108"/>
      <c r="I57" s="108"/>
      <c r="J57" s="108"/>
    </row>
    <row r="58" spans="1:10" s="15" customFormat="1" ht="18" customHeight="1" x14ac:dyDescent="0.2">
      <c r="A58" s="32" t="s">
        <v>123</v>
      </c>
      <c r="B58" s="27" t="s">
        <v>145</v>
      </c>
      <c r="C58" s="108"/>
      <c r="D58" s="108"/>
      <c r="E58" s="108"/>
      <c r="F58" s="108"/>
      <c r="G58" s="108"/>
      <c r="H58" s="108"/>
      <c r="I58" s="108"/>
      <c r="J58" s="108"/>
    </row>
    <row r="59" spans="1:10" s="15" customFormat="1" ht="18" customHeight="1" x14ac:dyDescent="0.2">
      <c r="A59" s="32" t="s">
        <v>129</v>
      </c>
      <c r="B59" s="27" t="s">
        <v>145</v>
      </c>
      <c r="C59" s="109"/>
      <c r="D59" s="109"/>
      <c r="E59" s="109"/>
      <c r="F59" s="109"/>
      <c r="G59" s="109"/>
      <c r="H59" s="109"/>
      <c r="I59" s="109"/>
      <c r="J59" s="109"/>
    </row>
    <row r="60" spans="1:10" s="15" customFormat="1" ht="18" customHeight="1" x14ac:dyDescent="0.2">
      <c r="A60" s="32" t="s">
        <v>130</v>
      </c>
      <c r="B60" s="27" t="s">
        <v>145</v>
      </c>
      <c r="C60" s="109"/>
      <c r="D60" s="109"/>
      <c r="E60" s="109"/>
      <c r="F60" s="109"/>
      <c r="G60" s="109"/>
      <c r="H60" s="109"/>
      <c r="I60" s="109"/>
      <c r="J60" s="109"/>
    </row>
    <row r="61" spans="1:10" s="15" customFormat="1" ht="18" customHeight="1" x14ac:dyDescent="0.2">
      <c r="A61" s="32" t="s">
        <v>124</v>
      </c>
      <c r="B61" s="27" t="s">
        <v>145</v>
      </c>
      <c r="C61" s="110"/>
      <c r="D61" s="110"/>
      <c r="E61" s="110"/>
      <c r="F61" s="110"/>
      <c r="G61" s="110"/>
      <c r="H61" s="110"/>
      <c r="I61" s="110"/>
      <c r="J61" s="110"/>
    </row>
    <row r="62" spans="1:10" s="15" customFormat="1" ht="18" customHeight="1" x14ac:dyDescent="0.2">
      <c r="A62" s="32" t="s">
        <v>15</v>
      </c>
      <c r="B62" s="27" t="s">
        <v>145</v>
      </c>
      <c r="C62" s="107"/>
      <c r="D62" s="107"/>
      <c r="E62" s="107"/>
      <c r="F62" s="107"/>
      <c r="G62" s="107"/>
      <c r="H62" s="107"/>
      <c r="I62" s="107"/>
      <c r="J62" s="107"/>
    </row>
    <row r="63" spans="1:10" s="15" customFormat="1" ht="18" customHeight="1" x14ac:dyDescent="0.2">
      <c r="A63" s="32" t="s">
        <v>125</v>
      </c>
      <c r="B63" s="27" t="s">
        <v>145</v>
      </c>
      <c r="C63" s="107"/>
      <c r="D63" s="107"/>
      <c r="E63" s="107"/>
      <c r="F63" s="107"/>
      <c r="G63" s="107"/>
      <c r="H63" s="107"/>
      <c r="I63" s="107"/>
      <c r="J63" s="107"/>
    </row>
    <row r="64" spans="1:10" s="15" customFormat="1" ht="18" customHeight="1" x14ac:dyDescent="0.2">
      <c r="A64" s="32" t="s">
        <v>126</v>
      </c>
      <c r="B64" s="27" t="s">
        <v>145</v>
      </c>
      <c r="C64" s="107"/>
      <c r="D64" s="107"/>
      <c r="E64" s="107"/>
      <c r="F64" s="107"/>
      <c r="G64" s="107"/>
      <c r="H64" s="107"/>
      <c r="I64" s="107"/>
      <c r="J64" s="107"/>
    </row>
    <row r="65" spans="1:10" s="15" customFormat="1" ht="18" customHeight="1" x14ac:dyDescent="0.2">
      <c r="A65" s="33" t="s">
        <v>127</v>
      </c>
      <c r="B65" s="27" t="s">
        <v>145</v>
      </c>
      <c r="C65" s="111"/>
      <c r="D65" s="111"/>
      <c r="E65" s="111"/>
      <c r="F65" s="111"/>
      <c r="G65" s="111"/>
      <c r="H65" s="111"/>
      <c r="I65" s="111"/>
      <c r="J65" s="111"/>
    </row>
    <row r="66" spans="1:10" s="15" customFormat="1" ht="18" customHeight="1" x14ac:dyDescent="0.2">
      <c r="A66" s="34" t="s">
        <v>135</v>
      </c>
      <c r="B66" s="27" t="s">
        <v>145</v>
      </c>
      <c r="C66" s="111"/>
      <c r="D66" s="111"/>
      <c r="E66" s="111"/>
      <c r="F66" s="111"/>
      <c r="G66" s="111"/>
      <c r="H66" s="111"/>
      <c r="I66" s="111"/>
      <c r="J66" s="111"/>
    </row>
    <row r="67" spans="1:10" s="15" customFormat="1" ht="18" customHeight="1" x14ac:dyDescent="0.2">
      <c r="A67" s="34" t="s">
        <v>131</v>
      </c>
      <c r="B67" s="27" t="s">
        <v>145</v>
      </c>
      <c r="C67" s="111"/>
      <c r="D67" s="111"/>
      <c r="E67" s="111"/>
      <c r="F67" s="111"/>
      <c r="G67" s="111"/>
      <c r="H67" s="111"/>
      <c r="I67" s="111"/>
      <c r="J67" s="111"/>
    </row>
    <row r="68" spans="1:10" s="15" customFormat="1" ht="18" customHeight="1" x14ac:dyDescent="0.2">
      <c r="A68" s="34" t="s">
        <v>132</v>
      </c>
      <c r="B68" s="27" t="s">
        <v>145</v>
      </c>
      <c r="C68" s="111"/>
      <c r="D68" s="111"/>
      <c r="E68" s="111"/>
      <c r="F68" s="111"/>
      <c r="G68" s="111"/>
      <c r="H68" s="111"/>
      <c r="I68" s="111"/>
      <c r="J68" s="111"/>
    </row>
    <row r="69" spans="1:10" s="15" customFormat="1" ht="18" customHeight="1" x14ac:dyDescent="0.2">
      <c r="A69" s="34" t="s">
        <v>136</v>
      </c>
      <c r="B69" s="27" t="s">
        <v>145</v>
      </c>
      <c r="C69" s="111"/>
      <c r="D69" s="111"/>
      <c r="E69" s="111"/>
      <c r="F69" s="111"/>
      <c r="G69" s="111"/>
      <c r="H69" s="111"/>
      <c r="I69" s="111"/>
      <c r="J69" s="111"/>
    </row>
    <row r="70" spans="1:10" s="15" customFormat="1" ht="18" customHeight="1" x14ac:dyDescent="0.2">
      <c r="A70" s="34" t="s">
        <v>133</v>
      </c>
      <c r="B70" s="27" t="s">
        <v>145</v>
      </c>
      <c r="C70" s="111"/>
      <c r="D70" s="111"/>
      <c r="E70" s="111"/>
      <c r="F70" s="111"/>
      <c r="G70" s="111"/>
      <c r="H70" s="111"/>
      <c r="I70" s="111"/>
      <c r="J70" s="111"/>
    </row>
    <row r="71" spans="1:10" s="15" customFormat="1" ht="18" customHeight="1" x14ac:dyDescent="0.2">
      <c r="A71" s="34" t="s">
        <v>134</v>
      </c>
      <c r="B71" s="27" t="s">
        <v>145</v>
      </c>
      <c r="C71" s="111"/>
      <c r="D71" s="111"/>
      <c r="E71" s="111"/>
      <c r="F71" s="111"/>
      <c r="G71" s="111"/>
      <c r="H71" s="111"/>
      <c r="I71" s="111"/>
      <c r="J71" s="111"/>
    </row>
    <row r="72" spans="1:10" s="100" customFormat="1" ht="12.75" customHeight="1" x14ac:dyDescent="0.2">
      <c r="A72" s="101"/>
      <c r="B72" s="102"/>
      <c r="C72" s="101"/>
      <c r="D72" s="101"/>
      <c r="E72" s="101"/>
      <c r="F72" s="101"/>
      <c r="G72" s="101"/>
      <c r="H72" s="101"/>
      <c r="I72" s="101"/>
      <c r="J72" s="101"/>
    </row>
  </sheetData>
  <sheetProtection formatCells="0" formatColumns="0" formatRows="0" insertColumns="0" insertRows="0"/>
  <mergeCells count="16">
    <mergeCell ref="A1:B1"/>
    <mergeCell ref="A2:B2"/>
    <mergeCell ref="A3:B3"/>
    <mergeCell ref="A4:B4"/>
    <mergeCell ref="A5:B5"/>
    <mergeCell ref="I4:I5"/>
    <mergeCell ref="J4:J5"/>
    <mergeCell ref="H4:H5"/>
    <mergeCell ref="G4:G5"/>
    <mergeCell ref="A55:B55"/>
    <mergeCell ref="A29:B29"/>
    <mergeCell ref="A16:B16"/>
    <mergeCell ref="A6:B6"/>
    <mergeCell ref="A7:B7"/>
    <mergeCell ref="A35:B35"/>
    <mergeCell ref="A8:C8"/>
  </mergeCells>
  <pageMargins left="0.7" right="0.7" top="0.78740157499999996" bottom="0.78740157499999996" header="0.3" footer="0.3"/>
  <pageSetup paperSize="9" scale="43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88"/>
  <sheetViews>
    <sheetView workbookViewId="0">
      <selection sqref="A1:B1"/>
    </sheetView>
  </sheetViews>
  <sheetFormatPr baseColWidth="10" defaultColWidth="11.42578125" defaultRowHeight="14.25" x14ac:dyDescent="0.2"/>
  <cols>
    <col min="1" max="1" width="6.28515625" style="39" customWidth="1"/>
    <col min="2" max="2" width="27.7109375" style="49" customWidth="1"/>
    <col min="3" max="26" width="12.5703125" style="38" customWidth="1"/>
    <col min="27" max="16384" width="11.42578125" style="39"/>
  </cols>
  <sheetData>
    <row r="1" spans="1:26" ht="50.25" customHeight="1" x14ac:dyDescent="0.2">
      <c r="A1" s="190" t="s">
        <v>192</v>
      </c>
      <c r="B1" s="190"/>
      <c r="C1" s="112">
        <f>an!C1</f>
        <v>40074</v>
      </c>
      <c r="D1" s="112">
        <f>an!D1</f>
        <v>40075</v>
      </c>
      <c r="E1" s="112">
        <f>an!E1</f>
        <v>40076</v>
      </c>
      <c r="F1" s="112">
        <f>an!F1</f>
        <v>43898</v>
      </c>
      <c r="G1" s="112">
        <f>an!G1</f>
        <v>44704</v>
      </c>
      <c r="H1" s="112">
        <f>an!H1</f>
        <v>44704</v>
      </c>
      <c r="I1" s="112">
        <f>an!I1</f>
        <v>44704</v>
      </c>
      <c r="J1" s="112">
        <f>an!J1</f>
        <v>44704</v>
      </c>
      <c r="K1" s="112">
        <f>an!K1</f>
        <v>0</v>
      </c>
      <c r="L1" s="112">
        <f>an!L1</f>
        <v>0</v>
      </c>
      <c r="M1" s="112">
        <f>an!M1</f>
        <v>0</v>
      </c>
      <c r="N1" s="112">
        <f>an!N1</f>
        <v>0</v>
      </c>
      <c r="O1" s="112">
        <f>an!O1</f>
        <v>0</v>
      </c>
      <c r="P1" s="112">
        <f>an!P1</f>
        <v>0</v>
      </c>
      <c r="Q1" s="112">
        <f>an!Q1</f>
        <v>0</v>
      </c>
      <c r="R1" s="112">
        <f>an!R1</f>
        <v>0</v>
      </c>
      <c r="S1" s="112">
        <f>an!S1</f>
        <v>0</v>
      </c>
      <c r="T1" s="112">
        <f>an!T1</f>
        <v>0</v>
      </c>
      <c r="U1" s="112">
        <f>an!U1</f>
        <v>0</v>
      </c>
      <c r="V1" s="112">
        <f>an!V1</f>
        <v>0</v>
      </c>
      <c r="W1" s="112">
        <f>an!W1</f>
        <v>0</v>
      </c>
      <c r="X1" s="112">
        <f>an!X1</f>
        <v>0</v>
      </c>
      <c r="Y1" s="112">
        <f>an!Y1</f>
        <v>0</v>
      </c>
      <c r="Z1" s="112">
        <f>an!Z1</f>
        <v>0</v>
      </c>
    </row>
    <row r="2" spans="1:26" ht="42" customHeight="1" x14ac:dyDescent="0.2">
      <c r="B2" s="40" t="s">
        <v>175</v>
      </c>
      <c r="C2" s="113" t="str">
        <f>an!C2</f>
        <v>Buche 22cm</v>
      </c>
      <c r="D2" s="113" t="str">
        <f>an!D2</f>
        <v>Holzpellets</v>
      </c>
      <c r="E2" s="113" t="str">
        <f>an!E2</f>
        <v>Heupellets</v>
      </c>
      <c r="F2" s="113" t="str">
        <f>an!F2</f>
        <v>Hackschnitzel</v>
      </c>
      <c r="G2" s="113" t="str">
        <f>an!G2</f>
        <v>HEL Std</v>
      </c>
      <c r="H2" s="113" t="str">
        <f>an!H2</f>
        <v>HEL S-arm</v>
      </c>
      <c r="I2" s="113" t="str">
        <f>an!I2</f>
        <v>Erdgas H</v>
      </c>
      <c r="J2" s="113" t="str">
        <f>an!J2</f>
        <v>Flüssiggas</v>
      </c>
      <c r="K2" s="113">
        <f>an!K2</f>
        <v>0</v>
      </c>
      <c r="L2" s="113">
        <f>an!L2</f>
        <v>0</v>
      </c>
      <c r="M2" s="113">
        <f>an!M2</f>
        <v>0</v>
      </c>
      <c r="N2" s="113">
        <f>an!N2</f>
        <v>0</v>
      </c>
      <c r="O2" s="113">
        <f>an!O2</f>
        <v>0</v>
      </c>
      <c r="P2" s="113">
        <f>an!P2</f>
        <v>0</v>
      </c>
      <c r="Q2" s="113">
        <f>an!Q2</f>
        <v>0</v>
      </c>
      <c r="R2" s="113">
        <f>an!R2</f>
        <v>0</v>
      </c>
      <c r="S2" s="113">
        <f>an!S2</f>
        <v>0</v>
      </c>
      <c r="T2" s="113">
        <f>an!T2</f>
        <v>0</v>
      </c>
      <c r="U2" s="113">
        <f>an!U2</f>
        <v>0</v>
      </c>
      <c r="V2" s="113">
        <f>an!V2</f>
        <v>0</v>
      </c>
      <c r="W2" s="113">
        <f>an!W2</f>
        <v>0</v>
      </c>
      <c r="X2" s="113">
        <f>an!X2</f>
        <v>0</v>
      </c>
      <c r="Y2" s="113">
        <f>an!Y2</f>
        <v>0</v>
      </c>
      <c r="Z2" s="113">
        <f>an!Z2</f>
        <v>0</v>
      </c>
    </row>
    <row r="3" spans="1:26" s="51" customFormat="1" ht="8.25" customHeight="1" x14ac:dyDescent="0.2">
      <c r="B3" s="58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59"/>
      <c r="Y3" s="59"/>
      <c r="Z3" s="59"/>
    </row>
    <row r="4" spans="1:26" ht="42" customHeight="1" x14ac:dyDescent="0.2">
      <c r="B4" s="40" t="s">
        <v>110</v>
      </c>
      <c r="C4" s="113" t="str">
        <f>an!C3</f>
        <v>biogen</v>
      </c>
      <c r="D4" s="113" t="str">
        <f>an!D3</f>
        <v>biogen</v>
      </c>
      <c r="E4" s="113" t="str">
        <f>an!E3</f>
        <v>biogen</v>
      </c>
      <c r="F4" s="113" t="str">
        <f>an!F3</f>
        <v>biogen</v>
      </c>
      <c r="G4" s="113" t="str">
        <f>an!G3</f>
        <v>fossil</v>
      </c>
      <c r="H4" s="113" t="str">
        <f>an!H3</f>
        <v>fossil</v>
      </c>
      <c r="I4" s="113" t="str">
        <f>an!I3</f>
        <v>fossil</v>
      </c>
      <c r="J4" s="113" t="str">
        <f>an!J3</f>
        <v>fossil</v>
      </c>
      <c r="K4" s="113">
        <f>an!K3</f>
        <v>0</v>
      </c>
      <c r="L4" s="113">
        <f>an!L3</f>
        <v>0</v>
      </c>
      <c r="M4" s="113">
        <f>an!M3</f>
        <v>0</v>
      </c>
      <c r="N4" s="113">
        <f>an!N3</f>
        <v>0</v>
      </c>
      <c r="O4" s="113">
        <f>an!O3</f>
        <v>0</v>
      </c>
      <c r="P4" s="113">
        <f>an!P3</f>
        <v>0</v>
      </c>
      <c r="Q4" s="113">
        <f>an!Q3</f>
        <v>0</v>
      </c>
      <c r="R4" s="113">
        <f>an!R3</f>
        <v>0</v>
      </c>
      <c r="S4" s="113">
        <f>an!S3</f>
        <v>0</v>
      </c>
      <c r="T4" s="113">
        <f>an!T3</f>
        <v>0</v>
      </c>
      <c r="U4" s="113">
        <f>an!U3</f>
        <v>0</v>
      </c>
      <c r="V4" s="113">
        <f>an!V3</f>
        <v>0</v>
      </c>
      <c r="W4" s="113">
        <f>an!W3</f>
        <v>0</v>
      </c>
      <c r="X4" s="113">
        <f>an!X3</f>
        <v>0</v>
      </c>
      <c r="Y4" s="113">
        <f>an!Y3</f>
        <v>0</v>
      </c>
      <c r="Z4" s="113">
        <f>an!Z3</f>
        <v>0</v>
      </c>
    </row>
    <row r="5" spans="1:26" ht="42" customHeight="1" x14ac:dyDescent="0.2">
      <c r="B5" s="40" t="s">
        <v>10</v>
      </c>
      <c r="C5" s="113" t="str">
        <f>an!C4</f>
        <v>Ruckaberle</v>
      </c>
      <c r="D5" s="113" t="str">
        <f>an!D4</f>
        <v>DinPlus</v>
      </c>
      <c r="E5" s="113" t="str">
        <f>an!E4</f>
        <v>Mueller</v>
      </c>
      <c r="F5" s="113" t="str">
        <f>an!F4</f>
        <v>Brennpunkt Energie</v>
      </c>
      <c r="G5" s="113" t="str">
        <f>an!G4</f>
        <v>https://www.aral.de/de/global/forschung/kraftstoffe/heizoel.html#accordion_01</v>
      </c>
      <c r="H5" s="113" t="str">
        <f>an!H4</f>
        <v>https://www.aral.de/de/global/forschung/kraftstoffe/heizoel.html#accordion_01</v>
      </c>
      <c r="I5" s="113" t="str">
        <f>an!I4</f>
        <v>https://www.bundesnetzagentur.de/DE/Vportal/Energie/UmstellungGas/start.html</v>
      </c>
      <c r="J5" s="113" t="str">
        <f>an!J4</f>
        <v>Struschka et al. 2016
Emissionen Flüssiggasfeuerung</v>
      </c>
      <c r="K5" s="113">
        <f>an!K4</f>
        <v>0</v>
      </c>
      <c r="L5" s="113">
        <f>an!L4</f>
        <v>0</v>
      </c>
      <c r="M5" s="113">
        <f>an!M4</f>
        <v>0</v>
      </c>
      <c r="N5" s="113">
        <f>an!N4</f>
        <v>0</v>
      </c>
      <c r="O5" s="113">
        <f>an!O4</f>
        <v>0</v>
      </c>
      <c r="P5" s="113">
        <f>an!P4</f>
        <v>0</v>
      </c>
      <c r="Q5" s="113">
        <f>an!Q4</f>
        <v>0</v>
      </c>
      <c r="R5" s="113">
        <f>an!R4</f>
        <v>0</v>
      </c>
      <c r="S5" s="113">
        <f>an!S4</f>
        <v>0</v>
      </c>
      <c r="T5" s="113">
        <f>an!T4</f>
        <v>0</v>
      </c>
      <c r="U5" s="113">
        <f>an!U4</f>
        <v>0</v>
      </c>
      <c r="V5" s="113">
        <f>an!V4</f>
        <v>0</v>
      </c>
      <c r="W5" s="113">
        <f>an!W4</f>
        <v>0</v>
      </c>
      <c r="X5" s="113">
        <f>an!X4</f>
        <v>0</v>
      </c>
      <c r="Y5" s="113">
        <f>an!Y4</f>
        <v>0</v>
      </c>
      <c r="Z5" s="113">
        <f>an!Z4</f>
        <v>0</v>
      </c>
    </row>
    <row r="6" spans="1:26" ht="42" customHeight="1" x14ac:dyDescent="0.2">
      <c r="B6" s="42" t="s">
        <v>0</v>
      </c>
      <c r="C6" s="113" t="str">
        <f>an!C5</f>
        <v>Stückholz</v>
      </c>
      <c r="D6" s="113" t="str">
        <f>an!D5</f>
        <v>Holzpellets</v>
      </c>
      <c r="E6" s="113" t="str">
        <f>an!E5</f>
        <v>Heupellets</v>
      </c>
      <c r="F6" s="113">
        <f>an!F5</f>
        <v>0</v>
      </c>
      <c r="G6" s="113">
        <f>an!G5</f>
        <v>0</v>
      </c>
      <c r="H6" s="113">
        <f>an!H5</f>
        <v>0</v>
      </c>
      <c r="I6" s="113">
        <f>an!I5</f>
        <v>0</v>
      </c>
      <c r="J6" s="113">
        <f>an!J5</f>
        <v>0</v>
      </c>
      <c r="K6" s="113">
        <f>an!K5</f>
        <v>0</v>
      </c>
      <c r="L6" s="113">
        <f>an!L5</f>
        <v>0</v>
      </c>
      <c r="M6" s="113">
        <f>an!M5</f>
        <v>0</v>
      </c>
      <c r="N6" s="113">
        <f>an!N5</f>
        <v>0</v>
      </c>
      <c r="O6" s="113">
        <f>an!O5</f>
        <v>0</v>
      </c>
      <c r="P6" s="113">
        <f>an!P5</f>
        <v>0</v>
      </c>
      <c r="Q6" s="113">
        <f>an!Q5</f>
        <v>0</v>
      </c>
      <c r="R6" s="113">
        <f>an!R5</f>
        <v>0</v>
      </c>
      <c r="S6" s="113">
        <f>an!S5</f>
        <v>0</v>
      </c>
      <c r="T6" s="113">
        <f>an!T5</f>
        <v>0</v>
      </c>
      <c r="U6" s="113">
        <f>an!U5</f>
        <v>0</v>
      </c>
      <c r="V6" s="113">
        <f>an!V5</f>
        <v>0</v>
      </c>
      <c r="W6" s="113">
        <f>an!W5</f>
        <v>0</v>
      </c>
      <c r="X6" s="113">
        <f>an!X5</f>
        <v>0</v>
      </c>
      <c r="Y6" s="113">
        <f>an!Y5</f>
        <v>0</v>
      </c>
      <c r="Z6" s="113">
        <f>an!Z5</f>
        <v>0</v>
      </c>
    </row>
    <row r="7" spans="1:26" ht="42" customHeight="1" x14ac:dyDescent="0.2">
      <c r="B7" s="40" t="s">
        <v>1</v>
      </c>
      <c r="C7" s="113">
        <f>an!C6</f>
        <v>40077</v>
      </c>
      <c r="D7" s="113">
        <f>an!D6</f>
        <v>40078</v>
      </c>
      <c r="E7" s="113">
        <f>an!E6</f>
        <v>40079</v>
      </c>
      <c r="F7" s="113">
        <f>an!F6</f>
        <v>43898</v>
      </c>
      <c r="G7" s="113">
        <f>an!G6</f>
        <v>0</v>
      </c>
      <c r="H7" s="113">
        <f>an!H6</f>
        <v>0</v>
      </c>
      <c r="I7" s="113">
        <f>an!I6</f>
        <v>0</v>
      </c>
      <c r="J7" s="113">
        <f>an!J6</f>
        <v>0</v>
      </c>
      <c r="K7" s="113">
        <f>an!K6</f>
        <v>0</v>
      </c>
      <c r="L7" s="113">
        <f>an!L6</f>
        <v>0</v>
      </c>
      <c r="M7" s="113">
        <f>an!M6</f>
        <v>0</v>
      </c>
      <c r="N7" s="113">
        <f>an!N6</f>
        <v>0</v>
      </c>
      <c r="O7" s="113">
        <f>an!O6</f>
        <v>0</v>
      </c>
      <c r="P7" s="113">
        <f>an!P6</f>
        <v>0</v>
      </c>
      <c r="Q7" s="113">
        <f>an!Q6</f>
        <v>0</v>
      </c>
      <c r="R7" s="113">
        <f>an!R6</f>
        <v>0</v>
      </c>
      <c r="S7" s="113">
        <f>an!S6</f>
        <v>0</v>
      </c>
      <c r="T7" s="113">
        <f>an!T6</f>
        <v>0</v>
      </c>
      <c r="U7" s="113">
        <f>an!U6</f>
        <v>0</v>
      </c>
      <c r="V7" s="113">
        <f>an!V6</f>
        <v>0</v>
      </c>
      <c r="W7" s="113">
        <f>an!W6</f>
        <v>0</v>
      </c>
      <c r="X7" s="113">
        <f>an!X6</f>
        <v>0</v>
      </c>
      <c r="Y7" s="113">
        <f>an!Y6</f>
        <v>0</v>
      </c>
      <c r="Z7" s="113">
        <f>an!Z6</f>
        <v>0</v>
      </c>
    </row>
    <row r="8" spans="1:26" ht="42" customHeight="1" x14ac:dyDescent="0.2">
      <c r="B8" s="40" t="s">
        <v>2</v>
      </c>
      <c r="C8" s="113" t="str">
        <f>an!C7</f>
        <v>2009 / 207 / 1765</v>
      </c>
      <c r="D8" s="113" t="str">
        <f>an!D7</f>
        <v>2010 / 207 / 1765</v>
      </c>
      <c r="E8" s="113" t="str">
        <f>an!E7</f>
        <v>2011 / 207 / 1765</v>
      </c>
      <c r="F8" s="113">
        <f>an!F7</f>
        <v>0</v>
      </c>
      <c r="G8" s="113">
        <f>an!G7</f>
        <v>0</v>
      </c>
      <c r="H8" s="113">
        <f>an!H7</f>
        <v>0</v>
      </c>
      <c r="I8" s="113">
        <f>an!I7</f>
        <v>0</v>
      </c>
      <c r="J8" s="113">
        <f>an!J7</f>
        <v>0</v>
      </c>
      <c r="K8" s="113">
        <f>an!K7</f>
        <v>0</v>
      </c>
      <c r="L8" s="113">
        <f>an!L7</f>
        <v>0</v>
      </c>
      <c r="M8" s="113">
        <f>an!M7</f>
        <v>0</v>
      </c>
      <c r="N8" s="113">
        <f>an!N7</f>
        <v>0</v>
      </c>
      <c r="O8" s="113">
        <f>an!O7</f>
        <v>0</v>
      </c>
      <c r="P8" s="113">
        <f>an!P7</f>
        <v>0</v>
      </c>
      <c r="Q8" s="113">
        <f>an!Q7</f>
        <v>0</v>
      </c>
      <c r="R8" s="113">
        <f>an!R7</f>
        <v>0</v>
      </c>
      <c r="S8" s="113">
        <f>an!S7</f>
        <v>0</v>
      </c>
      <c r="T8" s="113">
        <f>an!T7</f>
        <v>0</v>
      </c>
      <c r="U8" s="113">
        <f>an!U7</f>
        <v>0</v>
      </c>
      <c r="V8" s="113">
        <f>an!V7</f>
        <v>0</v>
      </c>
      <c r="W8" s="113">
        <f>an!W7</f>
        <v>0</v>
      </c>
      <c r="X8" s="113">
        <f>an!X7</f>
        <v>0</v>
      </c>
      <c r="Y8" s="113">
        <f>an!Y7</f>
        <v>0</v>
      </c>
      <c r="Z8" s="113">
        <f>an!Z7</f>
        <v>0</v>
      </c>
    </row>
    <row r="9" spans="1:26" s="51" customFormat="1" ht="12.75" customHeight="1" x14ac:dyDescent="0.2"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  <c r="Z9" s="52"/>
    </row>
    <row r="10" spans="1:26" ht="24" customHeight="1" x14ac:dyDescent="0.2">
      <c r="A10" s="192" t="s">
        <v>181</v>
      </c>
      <c r="B10" s="42" t="s">
        <v>74</v>
      </c>
      <c r="C10" s="114">
        <f>wf!C$2*(100-roh!C$12)/100</f>
        <v>70.925717181928121</v>
      </c>
      <c r="D10" s="114">
        <f>wf!D$2*(100-roh!D$12)/100</f>
        <v>71.657480388436483</v>
      </c>
      <c r="E10" s="114">
        <f>wf!E$2*(100-roh!E$12)/100</f>
        <v>67.815716306521608</v>
      </c>
      <c r="F10" s="114">
        <f>wf!F$2*(100-roh!F$12)/100</f>
        <v>57.578551159263213</v>
      </c>
      <c r="G10" s="114">
        <f>wf!G$2*(100-roh!G$12)/100</f>
        <v>100</v>
      </c>
      <c r="H10" s="114">
        <f>wf!H$2*(100-roh!H$12)/100</f>
        <v>100</v>
      </c>
      <c r="I10" s="114">
        <f>wf!I$2*(100-roh!I$12)/100</f>
        <v>100</v>
      </c>
      <c r="J10" s="114">
        <f>wf!J$2*(100-roh!J$12)/100</f>
        <v>99</v>
      </c>
      <c r="K10" s="114">
        <f>wf!K$2*(100-roh!K$12)/100</f>
        <v>0</v>
      </c>
      <c r="L10" s="114">
        <f>wf!L$2*(100-roh!L$12)/100</f>
        <v>0</v>
      </c>
      <c r="M10" s="114">
        <f>wf!M$2*(100-roh!M$12)/100</f>
        <v>0</v>
      </c>
      <c r="N10" s="114">
        <f>wf!N$2*(100-roh!N$12)/100</f>
        <v>0</v>
      </c>
      <c r="O10" s="114">
        <f>wf!O$2*(100-roh!O$12)/100</f>
        <v>0</v>
      </c>
      <c r="P10" s="114">
        <f>wf!P$2*(100-roh!P$12)/100</f>
        <v>0</v>
      </c>
      <c r="Q10" s="114">
        <f>wf!Q$2*(100-roh!Q$12)/100</f>
        <v>0</v>
      </c>
      <c r="R10" s="114">
        <f>wf!R$2*(100-roh!R$12)/100</f>
        <v>0</v>
      </c>
      <c r="S10" s="114">
        <f>wf!S$2*(100-roh!S$12)/100</f>
        <v>0</v>
      </c>
      <c r="T10" s="114">
        <f>wf!T$2*(100-roh!T$12)/100</f>
        <v>0</v>
      </c>
      <c r="U10" s="114">
        <f>wf!U$2*(100-roh!U$12)/100</f>
        <v>0</v>
      </c>
      <c r="V10" s="114">
        <f>wf!V$2*(100-roh!V$12)/100</f>
        <v>0</v>
      </c>
      <c r="W10" s="114">
        <f>wf!W$2*(100-roh!W$12)/100</f>
        <v>0</v>
      </c>
      <c r="X10" s="114">
        <f>wf!X$2*(100-roh!X$12)/100</f>
        <v>0</v>
      </c>
      <c r="Y10" s="114">
        <f>wf!Y$2*(100-roh!Y$12)/100</f>
        <v>0</v>
      </c>
      <c r="Z10" s="114">
        <f>wf!Z$2*(100-roh!Z$12)/100</f>
        <v>0</v>
      </c>
    </row>
    <row r="11" spans="1:26" ht="24" customHeight="1" x14ac:dyDescent="0.2">
      <c r="A11" s="192"/>
      <c r="B11" s="42" t="s">
        <v>75</v>
      </c>
      <c r="C11" s="114">
        <f>wf!C$3*(100-roh!C$12)/100</f>
        <v>13.882574504869245</v>
      </c>
      <c r="D11" s="114">
        <f>wf!D$3*(100-roh!D$12)/100</f>
        <v>14.117059727397711</v>
      </c>
      <c r="E11" s="114">
        <f>wf!E$3*(100-roh!E$12)/100</f>
        <v>15.692893029608308</v>
      </c>
      <c r="F11" s="114">
        <f>wf!F$3*(100-roh!F$12)/100</f>
        <v>11.270080277095435</v>
      </c>
      <c r="G11" s="114">
        <f>wf!G$3*(100-roh!G$12)/100</f>
        <v>0</v>
      </c>
      <c r="H11" s="114">
        <f>wf!H$3*(100-roh!H$12)/100</f>
        <v>0</v>
      </c>
      <c r="I11" s="114">
        <f>wf!I$3*(100-roh!I$12)/100</f>
        <v>0</v>
      </c>
      <c r="J11" s="114">
        <f>wf!J$3*(100-roh!J$12)/100</f>
        <v>0</v>
      </c>
      <c r="K11" s="114">
        <f>wf!K$3*(100-roh!K$12)/100</f>
        <v>0</v>
      </c>
      <c r="L11" s="114">
        <f>wf!L$3*(100-roh!L$12)/100</f>
        <v>0</v>
      </c>
      <c r="M11" s="114">
        <f>wf!M$3*(100-roh!M$12)/100</f>
        <v>0</v>
      </c>
      <c r="N11" s="114">
        <f>wf!N$3*(100-roh!N$12)/100</f>
        <v>0</v>
      </c>
      <c r="O11" s="114">
        <f>wf!O$3*(100-roh!O$12)/100</f>
        <v>0</v>
      </c>
      <c r="P11" s="114">
        <f>wf!P$3*(100-roh!P$12)/100</f>
        <v>0</v>
      </c>
      <c r="Q11" s="114">
        <f>wf!Q$3*(100-roh!Q$12)/100</f>
        <v>0</v>
      </c>
      <c r="R11" s="114">
        <f>wf!R$3*(100-roh!R$12)/100</f>
        <v>0</v>
      </c>
      <c r="S11" s="114">
        <f>wf!S$3*(100-roh!S$12)/100</f>
        <v>0</v>
      </c>
      <c r="T11" s="114">
        <f>wf!T$3*(100-roh!T$12)/100</f>
        <v>0</v>
      </c>
      <c r="U11" s="114">
        <f>wf!U$3*(100-roh!U$12)/100</f>
        <v>0</v>
      </c>
      <c r="V11" s="114">
        <f>wf!V$3*(100-roh!V$12)/100</f>
        <v>0</v>
      </c>
      <c r="W11" s="114">
        <f>wf!W$3*(100-roh!W$12)/100</f>
        <v>0</v>
      </c>
      <c r="X11" s="114">
        <f>wf!X$3*(100-roh!X$12)/100</f>
        <v>0</v>
      </c>
      <c r="Y11" s="114">
        <f>wf!Y$3*(100-roh!Y$12)/100</f>
        <v>0</v>
      </c>
      <c r="Z11" s="114">
        <f>wf!Z$3*(100-roh!Z$12)/100</f>
        <v>0</v>
      </c>
    </row>
    <row r="12" spans="1:26" ht="24" customHeight="1" x14ac:dyDescent="0.2">
      <c r="A12" s="192"/>
      <c r="B12" s="42" t="s">
        <v>76</v>
      </c>
      <c r="C12" s="114">
        <f xml:space="preserve"> an!C15</f>
        <v>13.803450862715701</v>
      </c>
      <c r="D12" s="114">
        <f xml:space="preserve"> an!D15</f>
        <v>13.868065967016493</v>
      </c>
      <c r="E12" s="114">
        <f xml:space="preserve"> an!E15</f>
        <v>7.7108433734939945</v>
      </c>
      <c r="F12" s="114">
        <f xml:space="preserve"> an!F15</f>
        <v>30.024360535931798</v>
      </c>
      <c r="G12" s="172">
        <f xml:space="preserve"> an!G15</f>
        <v>2.0000000000000001E-4</v>
      </c>
      <c r="H12" s="114">
        <f xml:space="preserve"> an!H15</f>
        <v>2.0000000000000001E-4</v>
      </c>
      <c r="I12" s="114">
        <f xml:space="preserve"> an!I15</f>
        <v>0</v>
      </c>
      <c r="J12" s="114">
        <f xml:space="preserve"> an!J15</f>
        <v>1</v>
      </c>
      <c r="K12" s="114">
        <f xml:space="preserve"> an!K15</f>
        <v>0</v>
      </c>
      <c r="L12" s="114">
        <f xml:space="preserve"> an!L15</f>
        <v>0</v>
      </c>
      <c r="M12" s="114">
        <f xml:space="preserve"> an!M15</f>
        <v>0</v>
      </c>
      <c r="N12" s="114">
        <f xml:space="preserve"> an!N15</f>
        <v>0</v>
      </c>
      <c r="O12" s="114">
        <f xml:space="preserve"> an!O15</f>
        <v>0</v>
      </c>
      <c r="P12" s="114">
        <f xml:space="preserve"> an!P15</f>
        <v>0</v>
      </c>
      <c r="Q12" s="114">
        <f xml:space="preserve"> an!Q15</f>
        <v>0</v>
      </c>
      <c r="R12" s="114">
        <f xml:space="preserve"> an!R15</f>
        <v>0</v>
      </c>
      <c r="S12" s="114">
        <f xml:space="preserve"> an!S15</f>
        <v>0</v>
      </c>
      <c r="T12" s="114">
        <f xml:space="preserve"> an!T15</f>
        <v>0</v>
      </c>
      <c r="U12" s="114">
        <f xml:space="preserve"> an!U15</f>
        <v>0</v>
      </c>
      <c r="V12" s="114">
        <f xml:space="preserve"> an!V15</f>
        <v>0</v>
      </c>
      <c r="W12" s="114">
        <f xml:space="preserve"> an!W15</f>
        <v>0</v>
      </c>
      <c r="X12" s="114">
        <f xml:space="preserve"> an!X15</f>
        <v>0</v>
      </c>
      <c r="Y12" s="114">
        <f xml:space="preserve"> an!Y15</f>
        <v>0</v>
      </c>
      <c r="Z12" s="114">
        <f xml:space="preserve"> an!Z15</f>
        <v>0</v>
      </c>
    </row>
    <row r="13" spans="1:26" ht="24" customHeight="1" x14ac:dyDescent="0.2">
      <c r="A13" s="192"/>
      <c r="B13" s="42" t="s">
        <v>77</v>
      </c>
      <c r="C13" s="114">
        <f>wf!C$4*(100-roh!C$12)/100</f>
        <v>41.558732652397026</v>
      </c>
      <c r="D13" s="114">
        <f>wf!D$4*(100-roh!D$12)/100</f>
        <v>43.334012454353733</v>
      </c>
      <c r="E13" s="114">
        <f>wf!E$4*(100-roh!E$12)/100</f>
        <v>40.726793814935853</v>
      </c>
      <c r="F13" s="114">
        <f>wf!F$4*(100-roh!F$12)/100</f>
        <v>33.737996726945951</v>
      </c>
      <c r="G13" s="114">
        <f>wf!G$4*(100-roh!G$12)/100</f>
        <v>86.698692999999992</v>
      </c>
      <c r="H13" s="114">
        <f>wf!H$4*(100-roh!H$12)/100</f>
        <v>86.699642999999995</v>
      </c>
      <c r="I13" s="114">
        <f>wf!I$4*(100-roh!I$12)/100</f>
        <v>71.606999106940236</v>
      </c>
      <c r="J13" s="114">
        <f>wf!J$4*(100-roh!J$12)/100</f>
        <v>81.097888063185792</v>
      </c>
      <c r="K13" s="114">
        <f>wf!K$4*(100-roh!K$12)/100</f>
        <v>0</v>
      </c>
      <c r="L13" s="114">
        <f>wf!L$4*(100-roh!L$12)/100</f>
        <v>0</v>
      </c>
      <c r="M13" s="114">
        <f>wf!M$4*(100-roh!M$12)/100</f>
        <v>0</v>
      </c>
      <c r="N13" s="114">
        <f>wf!N$4*(100-roh!N$12)/100</f>
        <v>0</v>
      </c>
      <c r="O13" s="114">
        <f>wf!O$4*(100-roh!O$12)/100</f>
        <v>0</v>
      </c>
      <c r="P13" s="114">
        <f>wf!P$4*(100-roh!P$12)/100</f>
        <v>0</v>
      </c>
      <c r="Q13" s="114">
        <f>wf!Q$4*(100-roh!Q$12)/100</f>
        <v>0</v>
      </c>
      <c r="R13" s="114">
        <f>wf!R$4*(100-roh!R$12)/100</f>
        <v>0</v>
      </c>
      <c r="S13" s="114">
        <f>wf!S$4*(100-roh!S$12)/100</f>
        <v>0</v>
      </c>
      <c r="T13" s="114">
        <f>wf!T$4*(100-roh!T$12)/100</f>
        <v>0</v>
      </c>
      <c r="U13" s="114">
        <f>wf!U$4*(100-roh!U$12)/100</f>
        <v>0</v>
      </c>
      <c r="V13" s="114">
        <f>wf!V$4*(100-roh!V$12)/100</f>
        <v>0</v>
      </c>
      <c r="W13" s="114">
        <f>wf!W$4*(100-roh!W$12)/100</f>
        <v>0</v>
      </c>
      <c r="X13" s="114">
        <f>wf!X$4*(100-roh!X$12)/100</f>
        <v>0</v>
      </c>
      <c r="Y13" s="114">
        <f>wf!Y$4*(100-roh!Y$12)/100</f>
        <v>0</v>
      </c>
      <c r="Z13" s="114">
        <f>wf!Z$4*(100-roh!Z$12)/100</f>
        <v>0</v>
      </c>
    </row>
    <row r="14" spans="1:26" ht="24" customHeight="1" x14ac:dyDescent="0.2">
      <c r="A14" s="192"/>
      <c r="B14" s="42" t="s">
        <v>78</v>
      </c>
      <c r="C14" s="115">
        <f>wf!C$5*(100-roh!C$12)/100</f>
        <v>5.2314517099916165</v>
      </c>
      <c r="D14" s="115">
        <f>wf!D$5*(100-roh!D$12)/100</f>
        <v>4.8222857110700872</v>
      </c>
      <c r="E14" s="115">
        <f>wf!E$5*(100-roh!E$12)/100</f>
        <v>6.3572301864892937</v>
      </c>
      <c r="F14" s="115">
        <f>wf!F$5*(100-roh!F$12)/100</f>
        <v>4.2469702371612827</v>
      </c>
      <c r="G14" s="115">
        <f>wf!G$5*(100-roh!G$12)/100</f>
        <v>13.299977620331186</v>
      </c>
      <c r="H14" s="115">
        <f>wf!H$5*(100-roh!H$12)/100</f>
        <v>13.299977620331186</v>
      </c>
      <c r="I14" s="115">
        <f>wf!I$5*(100-roh!I$12)/100</f>
        <v>25.251202348831356</v>
      </c>
      <c r="J14" s="115">
        <f>wf!J$5*(100-roh!J$12)/100</f>
        <v>17.901751367354617</v>
      </c>
      <c r="K14" s="115">
        <f>wf!K$5*(100-roh!K$12)/100</f>
        <v>0</v>
      </c>
      <c r="L14" s="115">
        <f>wf!L$5*(100-roh!L$12)/100</f>
        <v>0</v>
      </c>
      <c r="M14" s="115">
        <f>wf!M$5*(100-roh!M$12)/100</f>
        <v>0</v>
      </c>
      <c r="N14" s="115">
        <f>wf!N$5*(100-roh!N$12)/100</f>
        <v>0</v>
      </c>
      <c r="O14" s="115">
        <f>wf!O$5*(100-roh!O$12)/100</f>
        <v>0</v>
      </c>
      <c r="P14" s="115">
        <f>wf!P$5*(100-roh!P$12)/100</f>
        <v>0</v>
      </c>
      <c r="Q14" s="115">
        <f>wf!Q$5*(100-roh!Q$12)/100</f>
        <v>0</v>
      </c>
      <c r="R14" s="115">
        <f>wf!R$5*(100-roh!R$12)/100</f>
        <v>0</v>
      </c>
      <c r="S14" s="115">
        <f>wf!S$5*(100-roh!S$12)/100</f>
        <v>0</v>
      </c>
      <c r="T14" s="115">
        <f>wf!T$5*(100-roh!T$12)/100</f>
        <v>0</v>
      </c>
      <c r="U14" s="115">
        <f>wf!U$5*(100-roh!U$12)/100</f>
        <v>0</v>
      </c>
      <c r="V14" s="115">
        <f>wf!V$5*(100-roh!V$12)/100</f>
        <v>0</v>
      </c>
      <c r="W14" s="115">
        <f>wf!W$5*(100-roh!W$12)/100</f>
        <v>0</v>
      </c>
      <c r="X14" s="115">
        <f>wf!X$5*(100-roh!X$12)/100</f>
        <v>0</v>
      </c>
      <c r="Y14" s="115">
        <f>wf!Y$5*(100-roh!Y$12)/100</f>
        <v>0</v>
      </c>
      <c r="Z14" s="115">
        <f>wf!Z$5*(100-roh!Z$12)/100</f>
        <v>0</v>
      </c>
    </row>
    <row r="15" spans="1:26" ht="24" customHeight="1" x14ac:dyDescent="0.2">
      <c r="A15" s="192"/>
      <c r="B15" s="42" t="s">
        <v>79</v>
      </c>
      <c r="C15" s="114">
        <f>wf!C$6*(100-roh!C$12)/100</f>
        <v>38.31177716970403</v>
      </c>
      <c r="D15" s="114">
        <f>wf!D$6*(100-roh!D$12)/100</f>
        <v>37.502088927336857</v>
      </c>
      <c r="E15" s="114">
        <f>wf!E$6*(100-roh!E$12)/100</f>
        <v>34.668475876629572</v>
      </c>
      <c r="F15" s="114">
        <f>wf!F$6*(100-roh!F$12)/100</f>
        <v>31.015377091366162</v>
      </c>
      <c r="G15" s="114">
        <f>wf!G$6*(100-roh!G$12)/100</f>
        <v>2.2379668825114433E-5</v>
      </c>
      <c r="H15" s="114">
        <f>wf!H$6*(100-roh!H$12)/100</f>
        <v>2.2379668810903608E-5</v>
      </c>
      <c r="I15" s="114">
        <f>wf!I$6*(100-roh!I$12)/100</f>
        <v>0</v>
      </c>
      <c r="J15" s="114">
        <f>wf!J$6*(100-roh!J$12)/100</f>
        <v>3.6056945959160201E-4</v>
      </c>
      <c r="K15" s="114">
        <f>wf!K$6*(100-roh!K$12)/100</f>
        <v>100</v>
      </c>
      <c r="L15" s="114">
        <f>wf!L$6*(100-roh!L$12)/100</f>
        <v>100</v>
      </c>
      <c r="M15" s="114">
        <f>wf!M$6*(100-roh!M$12)/100</f>
        <v>100</v>
      </c>
      <c r="N15" s="114">
        <f>wf!N$6*(100-roh!N$12)/100</f>
        <v>100</v>
      </c>
      <c r="O15" s="114">
        <f>wf!O$6*(100-roh!O$12)/100</f>
        <v>100</v>
      </c>
      <c r="P15" s="114">
        <f>wf!P$6*(100-roh!P$12)/100</f>
        <v>100</v>
      </c>
      <c r="Q15" s="114">
        <f>wf!Q$6*(100-roh!Q$12)/100</f>
        <v>100</v>
      </c>
      <c r="R15" s="114">
        <f>wf!R$6*(100-roh!R$12)/100</f>
        <v>100</v>
      </c>
      <c r="S15" s="114">
        <f>wf!S$6*(100-roh!S$12)/100</f>
        <v>100</v>
      </c>
      <c r="T15" s="114">
        <f>wf!T$6*(100-roh!T$12)/100</f>
        <v>100</v>
      </c>
      <c r="U15" s="114">
        <f>wf!U$6*(100-roh!U$12)/100</f>
        <v>100</v>
      </c>
      <c r="V15" s="114">
        <f>wf!V$6*(100-roh!V$12)/100</f>
        <v>100</v>
      </c>
      <c r="W15" s="114">
        <f>wf!W$6*(100-roh!W$12)/100</f>
        <v>100</v>
      </c>
      <c r="X15" s="114">
        <f>wf!X$6*(100-roh!X$12)/100</f>
        <v>100</v>
      </c>
      <c r="Y15" s="114">
        <f>wf!Y$6*(100-roh!Y$12)/100</f>
        <v>100</v>
      </c>
      <c r="Z15" s="114">
        <f>wf!Z$6*(100-roh!Z$12)/100</f>
        <v>100</v>
      </c>
    </row>
    <row r="16" spans="1:26" ht="24" customHeight="1" x14ac:dyDescent="0.2">
      <c r="A16" s="192"/>
      <c r="B16" s="42" t="s">
        <v>80</v>
      </c>
      <c r="C16" s="115">
        <f>wf!C$7*(100-roh!C$12)/100</f>
        <v>0</v>
      </c>
      <c r="D16" s="115">
        <f>wf!D$7*(100-roh!D$12)/100</f>
        <v>8.9348479287327282E-2</v>
      </c>
      <c r="E16" s="115">
        <f>wf!E$7*(100-roh!E$12)/100</f>
        <v>1.261036047022096</v>
      </c>
      <c r="F16" s="115">
        <f>wf!F$7*(100-roh!F$12)/100</f>
        <v>7.2244104340355358E-2</v>
      </c>
      <c r="G16" s="157">
        <f>wf!G$7*(100-roh!G$12)/100</f>
        <v>6.9999999999999999E-6</v>
      </c>
      <c r="H16" s="172">
        <f>wf!H$7*(100-roh!H$12)/100</f>
        <v>6.9999999999999999E-6</v>
      </c>
      <c r="I16" s="115">
        <f>wf!I$7*(100-roh!I$12)/100</f>
        <v>3.1417985442284078</v>
      </c>
      <c r="J16" s="115">
        <f>wf!J$7*(100-roh!J$12)/100</f>
        <v>0</v>
      </c>
      <c r="K16" s="115">
        <f>wf!K$7*(100-roh!K$12)/100</f>
        <v>0</v>
      </c>
      <c r="L16" s="115">
        <f>wf!L$7*(100-roh!L$12)/100</f>
        <v>0</v>
      </c>
      <c r="M16" s="115">
        <f>wf!M$7*(100-roh!M$12)/100</f>
        <v>0</v>
      </c>
      <c r="N16" s="115">
        <f>wf!N$7*(100-roh!N$12)/100</f>
        <v>0</v>
      </c>
      <c r="O16" s="115">
        <f>wf!O$7*(100-roh!O$12)/100</f>
        <v>0</v>
      </c>
      <c r="P16" s="115">
        <f>wf!P$7*(100-roh!P$12)/100</f>
        <v>0</v>
      </c>
      <c r="Q16" s="115">
        <f>wf!Q$7*(100-roh!Q$12)/100</f>
        <v>0</v>
      </c>
      <c r="R16" s="115">
        <f>wf!R$7*(100-roh!R$12)/100</f>
        <v>0</v>
      </c>
      <c r="S16" s="115">
        <f>wf!S$7*(100-roh!S$12)/100</f>
        <v>0</v>
      </c>
      <c r="T16" s="115">
        <f>wf!T$7*(100-roh!T$12)/100</f>
        <v>0</v>
      </c>
      <c r="U16" s="115">
        <f>wf!U$7*(100-roh!U$12)/100</f>
        <v>0</v>
      </c>
      <c r="V16" s="115">
        <f>wf!V$7*(100-roh!V$12)/100</f>
        <v>0</v>
      </c>
      <c r="W16" s="115">
        <f>wf!W$7*(100-roh!W$12)/100</f>
        <v>0</v>
      </c>
      <c r="X16" s="115">
        <f>wf!X$7*(100-roh!X$12)/100</f>
        <v>0</v>
      </c>
      <c r="Y16" s="115">
        <f>wf!Y$7*(100-roh!Y$12)/100</f>
        <v>0</v>
      </c>
      <c r="Z16" s="115">
        <f>wf!Z$7*(100-roh!Z$12)/100</f>
        <v>0</v>
      </c>
    </row>
    <row r="17" spans="1:26" ht="24" customHeight="1" x14ac:dyDescent="0.2">
      <c r="A17" s="192"/>
      <c r="B17" s="42" t="s">
        <v>81</v>
      </c>
      <c r="C17" s="115">
        <f>wf!C$8*(100-roh!C$12)/100</f>
        <v>0</v>
      </c>
      <c r="D17" s="115">
        <f>wf!D$8*(100-roh!D$12)/100</f>
        <v>0</v>
      </c>
      <c r="E17" s="115">
        <f>wf!E$8*(100-roh!E$12)/100</f>
        <v>0.15879713184722694</v>
      </c>
      <c r="F17" s="115">
        <f>wf!F$8*(100-roh!F$12)/100</f>
        <v>7.2244104340355355E-3</v>
      </c>
      <c r="G17" s="171">
        <f>wf!G$8*(100-roh!G$12)/100</f>
        <v>1E-3</v>
      </c>
      <c r="H17" s="170">
        <f>wf!H$8*(100-roh!H$12)/100</f>
        <v>5.0000000000000002E-5</v>
      </c>
      <c r="I17" s="115">
        <f>wf!I$8*(100-roh!I$12)/100</f>
        <v>0</v>
      </c>
      <c r="J17" s="115">
        <f>wf!J$8*(100-roh!J$12)/100</f>
        <v>0</v>
      </c>
      <c r="K17" s="115">
        <f>wf!K$8*(100-roh!K$12)/100</f>
        <v>0</v>
      </c>
      <c r="L17" s="115">
        <f>wf!L$8*(100-roh!L$12)/100</f>
        <v>0</v>
      </c>
      <c r="M17" s="115">
        <f>wf!M$8*(100-roh!M$12)/100</f>
        <v>0</v>
      </c>
      <c r="N17" s="115">
        <f>wf!N$8*(100-roh!N$12)/100</f>
        <v>0</v>
      </c>
      <c r="O17" s="115">
        <f>wf!O$8*(100-roh!O$12)/100</f>
        <v>0</v>
      </c>
      <c r="P17" s="115">
        <f>wf!P$8*(100-roh!P$12)/100</f>
        <v>0</v>
      </c>
      <c r="Q17" s="115">
        <f>wf!Q$8*(100-roh!Q$12)/100</f>
        <v>0</v>
      </c>
      <c r="R17" s="115">
        <f>wf!R$8*(100-roh!R$12)/100</f>
        <v>0</v>
      </c>
      <c r="S17" s="115">
        <f>wf!S$8*(100-roh!S$12)/100</f>
        <v>0</v>
      </c>
      <c r="T17" s="115">
        <f>wf!T$8*(100-roh!T$12)/100</f>
        <v>0</v>
      </c>
      <c r="U17" s="115">
        <f>wf!U$8*(100-roh!U$12)/100</f>
        <v>0</v>
      </c>
      <c r="V17" s="115">
        <f>wf!V$8*(100-roh!V$12)/100</f>
        <v>0</v>
      </c>
      <c r="W17" s="115">
        <f>wf!W$8*(100-roh!W$12)/100</f>
        <v>0</v>
      </c>
      <c r="X17" s="115">
        <f>wf!X$8*(100-roh!X$12)/100</f>
        <v>0</v>
      </c>
      <c r="Y17" s="115">
        <f>wf!Y$8*(100-roh!Y$12)/100</f>
        <v>0</v>
      </c>
      <c r="Z17" s="115">
        <f>wf!Z$8*(100-roh!Z$12)/100</f>
        <v>0</v>
      </c>
    </row>
    <row r="18" spans="1:26" ht="24" customHeight="1" x14ac:dyDescent="0.2">
      <c r="A18" s="192"/>
      <c r="B18" s="42" t="s">
        <v>82</v>
      </c>
      <c r="C18" s="115">
        <f>wf!C$9*(100-roh!C$12)/100</f>
        <v>0</v>
      </c>
      <c r="D18" s="115">
        <f>wf!D$9*(100-roh!D$12)/100</f>
        <v>0</v>
      </c>
      <c r="E18" s="115">
        <f>wf!E$9*(100-roh!E$12)/100</f>
        <v>0.34561728696161154</v>
      </c>
      <c r="F18" s="115">
        <f>wf!F$9*(100-roh!F$12)/100</f>
        <v>7.2244104340355355E-3</v>
      </c>
      <c r="G18" s="115">
        <f>wf!G$9*(100-roh!G$12)/100</f>
        <v>0</v>
      </c>
      <c r="H18" s="172">
        <f>wf!H$9*(100-roh!H$12)/100</f>
        <v>0</v>
      </c>
      <c r="I18" s="115">
        <f>wf!I$9*(100-roh!I$12)/100</f>
        <v>0</v>
      </c>
      <c r="J18" s="115">
        <f>wf!J$9*(100-roh!J$12)/100</f>
        <v>0</v>
      </c>
      <c r="K18" s="115">
        <f>wf!K$9*(100-roh!K$12)/100</f>
        <v>0</v>
      </c>
      <c r="L18" s="115">
        <f>wf!L$9*(100-roh!L$12)/100</f>
        <v>0</v>
      </c>
      <c r="M18" s="115">
        <f>wf!M$9*(100-roh!M$12)/100</f>
        <v>0</v>
      </c>
      <c r="N18" s="115">
        <f>wf!N$9*(100-roh!N$12)/100</f>
        <v>0</v>
      </c>
      <c r="O18" s="115">
        <f>wf!O$9*(100-roh!O$12)/100</f>
        <v>0</v>
      </c>
      <c r="P18" s="115">
        <f>wf!P$9*(100-roh!P$12)/100</f>
        <v>0</v>
      </c>
      <c r="Q18" s="115">
        <f>wf!Q$9*(100-roh!Q$12)/100</f>
        <v>0</v>
      </c>
      <c r="R18" s="115">
        <f>wf!R$9*(100-roh!R$12)/100</f>
        <v>0</v>
      </c>
      <c r="S18" s="115">
        <f>wf!S$9*(100-roh!S$12)/100</f>
        <v>0</v>
      </c>
      <c r="T18" s="115">
        <f>wf!T$9*(100-roh!T$12)/100</f>
        <v>0</v>
      </c>
      <c r="U18" s="115">
        <f>wf!U$9*(100-roh!U$12)/100</f>
        <v>0</v>
      </c>
      <c r="V18" s="115">
        <f>wf!V$9*(100-roh!V$12)/100</f>
        <v>0</v>
      </c>
      <c r="W18" s="115">
        <f>wf!W$9*(100-roh!W$12)/100</f>
        <v>0</v>
      </c>
      <c r="X18" s="115">
        <f>wf!X$9*(100-roh!X$12)/100</f>
        <v>0</v>
      </c>
      <c r="Y18" s="115">
        <f>wf!Y$9*(100-roh!Y$12)/100</f>
        <v>0</v>
      </c>
      <c r="Z18" s="115">
        <f>wf!Z$9*(100-roh!Z$12)/100</f>
        <v>0</v>
      </c>
    </row>
    <row r="19" spans="1:26" ht="24" customHeight="1" x14ac:dyDescent="0.2">
      <c r="A19" s="192"/>
      <c r="B19" s="42" t="s">
        <v>83</v>
      </c>
      <c r="C19" s="115">
        <f>wf!C$10*(100-roh!C$12)/100</f>
        <v>1.0945876051916135</v>
      </c>
      <c r="D19" s="115">
        <f>wf!D$10*(100-roh!D$12)/100</f>
        <v>0.3841984609355073</v>
      </c>
      <c r="E19" s="115">
        <f>wf!E$10*(100-roh!E$12)/100</f>
        <v>8.7712062826203585</v>
      </c>
      <c r="F19" s="115">
        <f>wf!F$10*(100-roh!F$12)/100</f>
        <v>0.88860248338637082</v>
      </c>
      <c r="G19" s="172">
        <f>wf!G$10*(100-roh!G$12)/100</f>
        <v>1E-4</v>
      </c>
      <c r="H19" s="172">
        <f>wf!H$10*(100-roh!H$12)/100</f>
        <v>1E-4</v>
      </c>
      <c r="I19" s="115">
        <f>wf!I$10*(100-roh!I$12)/100</f>
        <v>0</v>
      </c>
      <c r="J19" s="115">
        <f>wf!J$10*(100-roh!J$12)/100</f>
        <v>0</v>
      </c>
      <c r="K19" s="115">
        <f>wf!K$10*(100-roh!K$12)/100</f>
        <v>0</v>
      </c>
      <c r="L19" s="115">
        <f>wf!L$10*(100-roh!L$12)/100</f>
        <v>0</v>
      </c>
      <c r="M19" s="115">
        <f>wf!M$10*(100-roh!M$12)/100</f>
        <v>0</v>
      </c>
      <c r="N19" s="115">
        <f>wf!N$10*(100-roh!N$12)/100</f>
        <v>0</v>
      </c>
      <c r="O19" s="115">
        <f>wf!O$10*(100-roh!O$12)/100</f>
        <v>0</v>
      </c>
      <c r="P19" s="115">
        <f>wf!P$10*(100-roh!P$12)/100</f>
        <v>0</v>
      </c>
      <c r="Q19" s="115">
        <f>wf!Q$10*(100-roh!Q$12)/100</f>
        <v>0</v>
      </c>
      <c r="R19" s="115">
        <f>wf!R$10*(100-roh!R$12)/100</f>
        <v>0</v>
      </c>
      <c r="S19" s="115">
        <f>wf!S$10*(100-roh!S$12)/100</f>
        <v>0</v>
      </c>
      <c r="T19" s="115">
        <f>wf!T$10*(100-roh!T$12)/100</f>
        <v>0</v>
      </c>
      <c r="U19" s="115">
        <f>wf!U$10*(100-roh!U$12)/100</f>
        <v>0</v>
      </c>
      <c r="V19" s="115">
        <f>wf!V$10*(100-roh!V$12)/100</f>
        <v>0</v>
      </c>
      <c r="W19" s="115">
        <f>wf!W$10*(100-roh!W$12)/100</f>
        <v>0</v>
      </c>
      <c r="X19" s="115">
        <f>wf!X$10*(100-roh!X$12)/100</f>
        <v>0</v>
      </c>
      <c r="Y19" s="115">
        <f>wf!Y$10*(100-roh!Y$12)/100</f>
        <v>0</v>
      </c>
      <c r="Z19" s="115">
        <f>wf!Z$10*(100-roh!Z$12)/100</f>
        <v>0</v>
      </c>
    </row>
    <row r="20" spans="1:26" ht="24" customHeight="1" x14ac:dyDescent="0.2">
      <c r="A20" s="192"/>
      <c r="B20" s="43" t="s">
        <v>7</v>
      </c>
      <c r="C20" s="116">
        <f>SUM(C12:C19)</f>
        <v>99.999999999999986</v>
      </c>
      <c r="D20" s="116">
        <f t="shared" ref="D20:Z20" si="0">SUM(D12:D19)</f>
        <v>100</v>
      </c>
      <c r="E20" s="116">
        <f t="shared" si="0"/>
        <v>100</v>
      </c>
      <c r="F20" s="116">
        <f t="shared" si="0"/>
        <v>99.999999999999986</v>
      </c>
      <c r="G20" s="116">
        <f t="shared" si="0"/>
        <v>100.00000000000001</v>
      </c>
      <c r="H20" s="156">
        <f t="shared" si="0"/>
        <v>100</v>
      </c>
      <c r="I20" s="116">
        <f t="shared" si="0"/>
        <v>100</v>
      </c>
      <c r="J20" s="116">
        <f t="shared" si="0"/>
        <v>100</v>
      </c>
      <c r="K20" s="116">
        <f t="shared" si="0"/>
        <v>100</v>
      </c>
      <c r="L20" s="116">
        <f t="shared" si="0"/>
        <v>100</v>
      </c>
      <c r="M20" s="116">
        <f t="shared" si="0"/>
        <v>100</v>
      </c>
      <c r="N20" s="116">
        <f t="shared" si="0"/>
        <v>100</v>
      </c>
      <c r="O20" s="116">
        <f t="shared" si="0"/>
        <v>100</v>
      </c>
      <c r="P20" s="116">
        <f t="shared" si="0"/>
        <v>100</v>
      </c>
      <c r="Q20" s="116">
        <f t="shared" si="0"/>
        <v>100</v>
      </c>
      <c r="R20" s="116">
        <f t="shared" si="0"/>
        <v>100</v>
      </c>
      <c r="S20" s="116">
        <f t="shared" si="0"/>
        <v>100</v>
      </c>
      <c r="T20" s="116">
        <f t="shared" si="0"/>
        <v>100</v>
      </c>
      <c r="U20" s="116">
        <f t="shared" si="0"/>
        <v>100</v>
      </c>
      <c r="V20" s="116">
        <f t="shared" si="0"/>
        <v>100</v>
      </c>
      <c r="W20" s="116">
        <f t="shared" si="0"/>
        <v>100</v>
      </c>
      <c r="X20" s="116">
        <f t="shared" si="0"/>
        <v>100</v>
      </c>
      <c r="Y20" s="116">
        <f t="shared" si="0"/>
        <v>100</v>
      </c>
      <c r="Z20" s="116">
        <f t="shared" si="0"/>
        <v>100</v>
      </c>
    </row>
    <row r="21" spans="1:26" s="51" customFormat="1" ht="12.75" customHeight="1" x14ac:dyDescent="0.2">
      <c r="A21" s="54"/>
      <c r="B21" s="62"/>
      <c r="C21" s="63"/>
      <c r="D21" s="63"/>
      <c r="E21" s="63"/>
      <c r="F21" s="63"/>
      <c r="G21" s="63"/>
      <c r="H21" s="63"/>
      <c r="I21" s="63"/>
      <c r="J21" s="63"/>
      <c r="K21" s="63"/>
      <c r="L21" s="63"/>
      <c r="M21" s="63"/>
      <c r="N21" s="63"/>
      <c r="O21" s="63"/>
      <c r="P21" s="63"/>
      <c r="Q21" s="63"/>
      <c r="R21" s="63"/>
      <c r="S21" s="63"/>
      <c r="T21" s="63"/>
      <c r="U21" s="63"/>
      <c r="V21" s="63"/>
      <c r="W21" s="63"/>
      <c r="X21" s="63"/>
      <c r="Y21" s="63"/>
      <c r="Z21" s="63"/>
    </row>
    <row r="22" spans="1:26" ht="24" customHeight="1" x14ac:dyDescent="0.2">
      <c r="A22" s="192" t="s">
        <v>182</v>
      </c>
      <c r="B22" s="42" t="s">
        <v>19</v>
      </c>
      <c r="C22" s="117">
        <f>wf!C$13*(100-roh!C$12)/100</f>
        <v>16199.89655683588</v>
      </c>
      <c r="D22" s="117">
        <f>wf!D$13*(100-roh!D$12)/100</f>
        <v>17028.033182578834</v>
      </c>
      <c r="E22" s="117">
        <f>wf!E$13*(100-roh!E$12)/100</f>
        <v>16430.832642310128</v>
      </c>
      <c r="F22" s="117">
        <f>wf!F$13*(100-roh!F$12)/100</f>
        <v>13151.316754118288</v>
      </c>
      <c r="G22" s="117">
        <f>wf!G$13*(100-roh!G$12)/100</f>
        <v>45400</v>
      </c>
      <c r="H22" s="117">
        <f>wf!H$13*(100-roh!H$12)/100</f>
        <v>45400</v>
      </c>
      <c r="I22" s="117">
        <f>wf!I$13*(100-roh!I$12)/100</f>
        <v>52086.075949367092</v>
      </c>
      <c r="J22" s="117">
        <f>wf!J$13*(100-roh!J$12)/100</f>
        <v>49750.582959641244</v>
      </c>
      <c r="K22" s="117">
        <f>wf!K$13*(100-roh!K$12)/100</f>
        <v>0</v>
      </c>
      <c r="L22" s="117">
        <f>wf!L$13*(100-roh!L$12)/100</f>
        <v>0</v>
      </c>
      <c r="M22" s="117">
        <f>wf!M$13*(100-roh!M$12)/100</f>
        <v>0</v>
      </c>
      <c r="N22" s="117">
        <f>wf!N$13*(100-roh!N$12)/100</f>
        <v>0</v>
      </c>
      <c r="O22" s="117">
        <f>wf!O$13*(100-roh!O$12)/100</f>
        <v>0</v>
      </c>
      <c r="P22" s="117">
        <f>wf!P$13*(100-roh!P$12)/100</f>
        <v>0</v>
      </c>
      <c r="Q22" s="117">
        <f>wf!Q$13*(100-roh!Q$12)/100</f>
        <v>0</v>
      </c>
      <c r="R22" s="117">
        <f>wf!R$13*(100-roh!R$12)/100</f>
        <v>0</v>
      </c>
      <c r="S22" s="117">
        <f>wf!S$13*(100-roh!S$12)/100</f>
        <v>0</v>
      </c>
      <c r="T22" s="117">
        <f>wf!T$13*(100-roh!T$12)/100</f>
        <v>0</v>
      </c>
      <c r="U22" s="117">
        <f>wf!U$13*(100-roh!U$12)/100</f>
        <v>0</v>
      </c>
      <c r="V22" s="117">
        <f>wf!V$13*(100-roh!V$12)/100</f>
        <v>0</v>
      </c>
      <c r="W22" s="117">
        <f>wf!W$13*(100-roh!W$12)/100</f>
        <v>0</v>
      </c>
      <c r="X22" s="117">
        <f>wf!X$13*(100-roh!X$12)/100</f>
        <v>0</v>
      </c>
      <c r="Y22" s="117">
        <f>wf!Y$13*(100-roh!Y$12)/100</f>
        <v>0</v>
      </c>
      <c r="Z22" s="117">
        <f>wf!Z$13*(100-roh!Z$12)/100</f>
        <v>0</v>
      </c>
    </row>
    <row r="23" spans="1:26" ht="24" customHeight="1" x14ac:dyDescent="0.2">
      <c r="A23" s="192"/>
      <c r="B23" s="42" t="s">
        <v>20</v>
      </c>
      <c r="C23" s="117">
        <f>wf!C$14*(100-roh!C$12)/100-24.43*roh!C$12</f>
        <v>14722.43792283475</v>
      </c>
      <c r="D23" s="117">
        <f>wf!D$14*(100-roh!D$12)/100-24.43*roh!D$12</f>
        <v>15636.356381761359</v>
      </c>
      <c r="E23" s="117">
        <f>wf!E$14*(100-roh!E$12)/100-24.43*roh!E$12</f>
        <v>14865.34460660237</v>
      </c>
      <c r="F23" s="117">
        <f>wf!F$14*(100-roh!F$12)/100-24.43*roh!F$12</f>
        <v>11492.169141967002</v>
      </c>
      <c r="G23" s="117">
        <f>wf!G$14*(100-roh!G$12)/100-24.43*roh!G$12</f>
        <v>42579.069837224022</v>
      </c>
      <c r="H23" s="117">
        <f>wf!H$14*(100-roh!H$12)/100-24.43*roh!H$12</f>
        <v>42579.069837224022</v>
      </c>
      <c r="I23" s="117">
        <f>wf!I$14*(100-roh!I$12)/100-24.43*roh!I$12</f>
        <v>46727.782492344588</v>
      </c>
      <c r="J23" s="117">
        <f>wf!J$14*(100-roh!J$12)/100-24.43*roh!J$12</f>
        <v>45929.191206169773</v>
      </c>
      <c r="K23" s="117">
        <f>wf!K$14*(100-roh!K$12)/100-24.43*roh!K$12</f>
        <v>-80</v>
      </c>
      <c r="L23" s="117">
        <f>wf!L$14*(100-roh!L$12)/100-24.43*roh!L$12</f>
        <v>-80</v>
      </c>
      <c r="M23" s="117">
        <f>wf!M$14*(100-roh!M$12)/100-24.43*roh!M$12</f>
        <v>-80</v>
      </c>
      <c r="N23" s="117">
        <f>wf!N$14*(100-roh!N$12)/100-24.43*roh!N$12</f>
        <v>-80</v>
      </c>
      <c r="O23" s="117">
        <f>wf!O$14*(100-roh!O$12)/100-24.43*roh!O$12</f>
        <v>-80</v>
      </c>
      <c r="P23" s="117">
        <f>wf!P$14*(100-roh!P$12)/100-24.43*roh!P$12</f>
        <v>-80</v>
      </c>
      <c r="Q23" s="117">
        <f>wf!Q$14*(100-roh!Q$12)/100-24.43*roh!Q$12</f>
        <v>-80</v>
      </c>
      <c r="R23" s="117">
        <f>wf!R$14*(100-roh!R$12)/100-24.43*roh!R$12</f>
        <v>-80</v>
      </c>
      <c r="S23" s="117">
        <f>wf!S$14*(100-roh!S$12)/100-24.43*roh!S$12</f>
        <v>-80</v>
      </c>
      <c r="T23" s="117">
        <f>wf!T$14*(100-roh!T$12)/100-24.43*roh!T$12</f>
        <v>-80</v>
      </c>
      <c r="U23" s="117">
        <f>wf!U$14*(100-roh!U$12)/100-24.43*roh!U$12</f>
        <v>-80</v>
      </c>
      <c r="V23" s="117">
        <f>wf!V$14*(100-roh!V$12)/100-24.43*roh!V$12</f>
        <v>-80</v>
      </c>
      <c r="W23" s="117">
        <f>wf!W$14*(100-roh!W$12)/100-24.43*roh!W$12</f>
        <v>-80</v>
      </c>
      <c r="X23" s="117">
        <f>wf!X$14*(100-roh!X$12)/100-24.43*roh!X$12</f>
        <v>-80</v>
      </c>
      <c r="Y23" s="117">
        <f>wf!Y$14*(100-roh!Y$12)/100-24.43*roh!Y$12</f>
        <v>-80</v>
      </c>
      <c r="Z23" s="117">
        <f>wf!Z$14*(100-roh!Z$12)/100-24.43*roh!Z$12</f>
        <v>-80</v>
      </c>
    </row>
    <row r="24" spans="1:26" s="51" customFormat="1" ht="12.75" customHeight="1" x14ac:dyDescent="0.2">
      <c r="A24" s="54"/>
      <c r="B24" s="55"/>
      <c r="C24" s="56"/>
      <c r="D24" s="56"/>
      <c r="E24" s="56"/>
      <c r="F24" s="56"/>
      <c r="G24" s="56"/>
      <c r="H24" s="161">
        <f>H23*Grundtab!E120</f>
        <v>10.17166668333685</v>
      </c>
      <c r="I24" s="161">
        <f>I23*Grundtab!F121</f>
        <v>10.254152269153396</v>
      </c>
      <c r="J24" s="56">
        <f>J23*Grundtab!F122</f>
        <v>25.605524097439652</v>
      </c>
      <c r="K24" s="56"/>
      <c r="L24" s="56"/>
      <c r="M24" s="56"/>
      <c r="N24" s="56"/>
      <c r="O24" s="56"/>
      <c r="P24" s="56"/>
      <c r="Q24" s="56"/>
      <c r="R24" s="56"/>
      <c r="S24" s="56"/>
      <c r="T24" s="56"/>
      <c r="U24" s="56"/>
      <c r="V24" s="56"/>
      <c r="W24" s="56"/>
      <c r="X24" s="56"/>
      <c r="Y24" s="56"/>
      <c r="Z24" s="56"/>
    </row>
    <row r="25" spans="1:26" ht="24" customHeight="1" x14ac:dyDescent="0.2">
      <c r="A25" s="192" t="s">
        <v>13</v>
      </c>
      <c r="B25" s="42" t="s">
        <v>148</v>
      </c>
      <c r="C25" s="117">
        <f>an!C$30</f>
        <v>0</v>
      </c>
      <c r="D25" s="117">
        <f>an!D$30</f>
        <v>0</v>
      </c>
      <c r="E25" s="117">
        <f>an!E$30</f>
        <v>0</v>
      </c>
      <c r="F25" s="117">
        <f>an!F$30</f>
        <v>0</v>
      </c>
      <c r="G25" s="117">
        <f>an!G$30</f>
        <v>0</v>
      </c>
      <c r="H25" s="117">
        <f>an!H$30</f>
        <v>0</v>
      </c>
      <c r="I25" s="117">
        <f>an!I$30</f>
        <v>0</v>
      </c>
      <c r="J25" s="117">
        <f>an!J$30</f>
        <v>0</v>
      </c>
      <c r="K25" s="117">
        <f>an!K$30</f>
        <v>0</v>
      </c>
      <c r="L25" s="117">
        <f>an!L$30</f>
        <v>0</v>
      </c>
      <c r="M25" s="117">
        <f>an!M$30</f>
        <v>0</v>
      </c>
      <c r="N25" s="117">
        <f>an!N$30</f>
        <v>0</v>
      </c>
      <c r="O25" s="117">
        <f>an!O$30</f>
        <v>0</v>
      </c>
      <c r="P25" s="117">
        <f>an!P$30</f>
        <v>0</v>
      </c>
      <c r="Q25" s="117">
        <f>an!Q$30</f>
        <v>0</v>
      </c>
      <c r="R25" s="117">
        <f>an!R$30</f>
        <v>0</v>
      </c>
      <c r="S25" s="117">
        <f>an!S$30</f>
        <v>0</v>
      </c>
      <c r="T25" s="117">
        <f>an!T$30</f>
        <v>0</v>
      </c>
      <c r="U25" s="117">
        <f>an!U$30</f>
        <v>0</v>
      </c>
      <c r="V25" s="117">
        <f>an!V$30</f>
        <v>0</v>
      </c>
      <c r="W25" s="117">
        <f>an!W$30</f>
        <v>0</v>
      </c>
      <c r="X25" s="117">
        <f>an!X$30</f>
        <v>0</v>
      </c>
      <c r="Y25" s="117">
        <f>an!Y$30</f>
        <v>0</v>
      </c>
      <c r="Z25" s="117">
        <f>an!Z$30</f>
        <v>0</v>
      </c>
    </row>
    <row r="26" spans="1:26" ht="24" customHeight="1" x14ac:dyDescent="0.2">
      <c r="A26" s="192"/>
      <c r="B26" s="42" t="s">
        <v>151</v>
      </c>
      <c r="C26" s="117">
        <f>an!C$31</f>
        <v>0</v>
      </c>
      <c r="D26" s="117">
        <f>an!D$31</f>
        <v>0</v>
      </c>
      <c r="E26" s="117">
        <f>an!E$31</f>
        <v>0</v>
      </c>
      <c r="F26" s="117">
        <f>an!F$31</f>
        <v>0</v>
      </c>
      <c r="G26" s="117">
        <f>an!G$31</f>
        <v>0</v>
      </c>
      <c r="H26" s="117">
        <f>an!H$31</f>
        <v>0</v>
      </c>
      <c r="I26" s="117">
        <f>an!I$31</f>
        <v>0</v>
      </c>
      <c r="J26" s="117">
        <f>an!J$31</f>
        <v>0</v>
      </c>
      <c r="K26" s="117">
        <f>an!K$31</f>
        <v>0</v>
      </c>
      <c r="L26" s="117">
        <f>an!L$31</f>
        <v>0</v>
      </c>
      <c r="M26" s="117">
        <f>an!M$31</f>
        <v>0</v>
      </c>
      <c r="N26" s="117">
        <f>an!N$31</f>
        <v>0</v>
      </c>
      <c r="O26" s="117">
        <f>an!O$31</f>
        <v>0</v>
      </c>
      <c r="P26" s="117">
        <f>an!P$31</f>
        <v>0</v>
      </c>
      <c r="Q26" s="117">
        <f>an!Q$31</f>
        <v>0</v>
      </c>
      <c r="R26" s="117">
        <f>an!R$31</f>
        <v>0</v>
      </c>
      <c r="S26" s="117">
        <f>an!S$31</f>
        <v>0</v>
      </c>
      <c r="T26" s="117">
        <f>an!T$31</f>
        <v>0</v>
      </c>
      <c r="U26" s="117">
        <f>an!U$31</f>
        <v>0</v>
      </c>
      <c r="V26" s="117">
        <f>an!V$31</f>
        <v>0</v>
      </c>
      <c r="W26" s="117">
        <f>an!W$31</f>
        <v>0</v>
      </c>
      <c r="X26" s="117">
        <f>an!X$31</f>
        <v>0</v>
      </c>
      <c r="Y26" s="117">
        <f>an!Y$31</f>
        <v>0</v>
      </c>
      <c r="Z26" s="117">
        <f>an!Z$31</f>
        <v>0</v>
      </c>
    </row>
    <row r="27" spans="1:26" ht="24" customHeight="1" x14ac:dyDescent="0.2">
      <c r="A27" s="192"/>
      <c r="B27" s="42" t="s">
        <v>149</v>
      </c>
      <c r="C27" s="117">
        <f>an!C$32</f>
        <v>0</v>
      </c>
      <c r="D27" s="117">
        <f>an!D$32</f>
        <v>0</v>
      </c>
      <c r="E27" s="117">
        <f>an!E$32</f>
        <v>0</v>
      </c>
      <c r="F27" s="117">
        <f>an!F$32</f>
        <v>0</v>
      </c>
      <c r="G27" s="117">
        <f>an!G$32</f>
        <v>0</v>
      </c>
      <c r="H27" s="117">
        <f>an!H$32</f>
        <v>0</v>
      </c>
      <c r="I27" s="117">
        <f>an!I$32</f>
        <v>0</v>
      </c>
      <c r="J27" s="117">
        <f>an!J$32</f>
        <v>0</v>
      </c>
      <c r="K27" s="117">
        <f>an!K$32</f>
        <v>0</v>
      </c>
      <c r="L27" s="117">
        <f>an!L$32</f>
        <v>0</v>
      </c>
      <c r="M27" s="117">
        <f>an!M$32</f>
        <v>0</v>
      </c>
      <c r="N27" s="117">
        <f>an!N$32</f>
        <v>0</v>
      </c>
      <c r="O27" s="117">
        <f>an!O$32</f>
        <v>0</v>
      </c>
      <c r="P27" s="117">
        <f>an!P$32</f>
        <v>0</v>
      </c>
      <c r="Q27" s="117">
        <f>an!Q$32</f>
        <v>0</v>
      </c>
      <c r="R27" s="117">
        <f>an!R$32</f>
        <v>0</v>
      </c>
      <c r="S27" s="117">
        <f>an!S$32</f>
        <v>0</v>
      </c>
      <c r="T27" s="117">
        <f>an!T$32</f>
        <v>0</v>
      </c>
      <c r="U27" s="117">
        <f>an!U$32</f>
        <v>0</v>
      </c>
      <c r="V27" s="117">
        <f>an!V$32</f>
        <v>0</v>
      </c>
      <c r="W27" s="117">
        <f>an!W$32</f>
        <v>0</v>
      </c>
      <c r="X27" s="117">
        <f>an!X$32</f>
        <v>0</v>
      </c>
      <c r="Y27" s="117">
        <f>an!Y$32</f>
        <v>0</v>
      </c>
      <c r="Z27" s="117">
        <f>an!Z$32</f>
        <v>0</v>
      </c>
    </row>
    <row r="28" spans="1:26" s="38" customFormat="1" ht="24" customHeight="1" x14ac:dyDescent="0.2">
      <c r="A28" s="192"/>
      <c r="B28" s="42" t="s">
        <v>150</v>
      </c>
      <c r="C28" s="117">
        <f>an!C$33</f>
        <v>0</v>
      </c>
      <c r="D28" s="117">
        <f>an!D$33</f>
        <v>0</v>
      </c>
      <c r="E28" s="117">
        <f>an!E$33</f>
        <v>0</v>
      </c>
      <c r="F28" s="117">
        <f>an!F$33</f>
        <v>0</v>
      </c>
      <c r="G28" s="117">
        <f>an!G$33</f>
        <v>0</v>
      </c>
      <c r="H28" s="117">
        <f>an!H$33</f>
        <v>0</v>
      </c>
      <c r="I28" s="117">
        <f>an!I$33</f>
        <v>0</v>
      </c>
      <c r="J28" s="117">
        <f>an!J$33</f>
        <v>0</v>
      </c>
      <c r="K28" s="117">
        <f>an!K$33</f>
        <v>0</v>
      </c>
      <c r="L28" s="117">
        <f>an!L$33</f>
        <v>0</v>
      </c>
      <c r="M28" s="117">
        <f>an!M$33</f>
        <v>0</v>
      </c>
      <c r="N28" s="117">
        <f>an!N$33</f>
        <v>0</v>
      </c>
      <c r="O28" s="117">
        <f>an!O$33</f>
        <v>0</v>
      </c>
      <c r="P28" s="117">
        <f>an!P$33</f>
        <v>0</v>
      </c>
      <c r="Q28" s="117">
        <f>an!Q$33</f>
        <v>0</v>
      </c>
      <c r="R28" s="117">
        <f>an!R$33</f>
        <v>0</v>
      </c>
      <c r="S28" s="117">
        <f>an!S$33</f>
        <v>0</v>
      </c>
      <c r="T28" s="117">
        <f>an!T$33</f>
        <v>0</v>
      </c>
      <c r="U28" s="117">
        <f>an!U$33</f>
        <v>0</v>
      </c>
      <c r="V28" s="117">
        <f>an!V$33</f>
        <v>0</v>
      </c>
      <c r="W28" s="117">
        <f>an!W$33</f>
        <v>0</v>
      </c>
      <c r="X28" s="117">
        <f>an!X$33</f>
        <v>0</v>
      </c>
      <c r="Y28" s="117">
        <f>an!Y$33</f>
        <v>0</v>
      </c>
      <c r="Z28" s="117">
        <f>an!Z$33</f>
        <v>0</v>
      </c>
    </row>
    <row r="29" spans="1:26" s="53" customFormat="1" ht="12" customHeight="1" x14ac:dyDescent="0.2">
      <c r="B29" s="57"/>
      <c r="C29" s="57"/>
      <c r="D29" s="57"/>
      <c r="E29" s="57"/>
      <c r="F29" s="57"/>
      <c r="G29" s="57"/>
      <c r="H29" s="57"/>
      <c r="I29" s="57"/>
      <c r="J29" s="57"/>
      <c r="K29" s="57"/>
      <c r="L29" s="57"/>
      <c r="M29" s="57"/>
      <c r="N29" s="57"/>
      <c r="O29" s="57"/>
      <c r="P29" s="57"/>
      <c r="Q29" s="57"/>
      <c r="R29" s="57"/>
      <c r="S29" s="57"/>
      <c r="T29" s="57"/>
      <c r="U29" s="57"/>
      <c r="V29" s="57"/>
      <c r="W29" s="57"/>
      <c r="X29" s="57"/>
      <c r="Y29" s="57"/>
      <c r="Z29" s="57"/>
    </row>
    <row r="30" spans="1:26" s="38" customFormat="1" ht="36" customHeight="1" x14ac:dyDescent="0.2">
      <c r="A30" s="192" t="s">
        <v>13</v>
      </c>
      <c r="B30" s="40" t="s">
        <v>187</v>
      </c>
      <c r="C30" s="117">
        <f>Grundtab!$B$93+Grundtab!$B$94*C$35+Grundtab!$B$95*C$36+Grundtab!$B$99*C$41+Grundtab!$B$96*C$37+Grundtab!$B$98*C$40+Grundtab!$B$97*C$39</f>
        <v>1392.3810000000001</v>
      </c>
      <c r="D30" s="117">
        <f>Grundtab!$B$93+Grundtab!$B$94*D$35+Grundtab!$B$95*D$36+Grundtab!$B$99*D$41+Grundtab!$B$96*D$37+Grundtab!$B$98*D$40+Grundtab!$B$97*D$39</f>
        <v>1392.3810000000001</v>
      </c>
      <c r="E30" s="117">
        <f>Grundtab!$B$93+Grundtab!$B$94*E$35+Grundtab!$B$95*E$36+Grundtab!$B$99*E$41+Grundtab!$B$96*E$37+Grundtab!$B$98*E$40+Grundtab!$B$97*E$39</f>
        <v>1392.3810000000001</v>
      </c>
      <c r="F30" s="117">
        <f>Grundtab!$B$93+Grundtab!$B$94*F$35+Grundtab!$B$95*F$36+Grundtab!$B$99*F$41+Grundtab!$B$96*F$37+Grundtab!$B$98*F$40+Grundtab!$B$97*F$39</f>
        <v>1392.3810000000001</v>
      </c>
      <c r="G30" s="117">
        <f>Grundtab!$B$93+Grundtab!$B$94*G$35+Grundtab!$B$95*G$36+Grundtab!$B$99*G$41+Grundtab!$B$96*G$37+Grundtab!$B$98*G$40+Grundtab!$B$97*G$39</f>
        <v>1392.3810000000001</v>
      </c>
      <c r="H30" s="117">
        <f>Grundtab!$B$93+Grundtab!$B$94*H$35+Grundtab!$B$95*H$36+Grundtab!$B$99*H$41+Grundtab!$B$96*H$37+Grundtab!$B$98*H$40+Grundtab!$B$97*H$39</f>
        <v>1392.3810000000001</v>
      </c>
      <c r="I30" s="117">
        <f>Grundtab!$B$93+Grundtab!$B$94*I$35+Grundtab!$B$95*I$36+Grundtab!$B$99*I$41+Grundtab!$B$96*I$37+Grundtab!$B$98*I$40+Grundtab!$B$97*I$39</f>
        <v>1392.3810000000001</v>
      </c>
      <c r="J30" s="117">
        <f>Grundtab!$B$93+Grundtab!$B$94*J$35+Grundtab!$B$95*J$36+Grundtab!$B$99*J$41+Grundtab!$B$96*J$37+Grundtab!$B$98*J$40+Grundtab!$B$97*J$39</f>
        <v>1392.3810000000001</v>
      </c>
      <c r="K30" s="117">
        <f>Grundtab!$B$93+Grundtab!$B$94*K$35+Grundtab!$B$95*K$36+Grundtab!$B$99*K$41+Grundtab!$B$96*K$37+Grundtab!$B$98*K$40+Grundtab!$B$97*K$39</f>
        <v>1392.3810000000001</v>
      </c>
      <c r="L30" s="117">
        <f>Grundtab!$B$93+Grundtab!$B$94*L$35+Grundtab!$B$95*L$36+Grundtab!$B$99*L$41+Grundtab!$B$96*L$37+Grundtab!$B$98*L$40+Grundtab!$B$97*L$39</f>
        <v>1392.3810000000001</v>
      </c>
      <c r="M30" s="117">
        <f>Grundtab!$B$93+Grundtab!$B$94*M$35+Grundtab!$B$95*M$36+Grundtab!$B$99*M$41+Grundtab!$B$96*M$37+Grundtab!$B$98*M$40+Grundtab!$B$97*M$39</f>
        <v>1392.3810000000001</v>
      </c>
      <c r="N30" s="117">
        <f>Grundtab!$B$93+Grundtab!$B$94*N$35+Grundtab!$B$95*N$36+Grundtab!$B$99*N$41+Grundtab!$B$96*N$37+Grundtab!$B$98*N$40+Grundtab!$B$97*N$39</f>
        <v>1392.3810000000001</v>
      </c>
      <c r="O30" s="117">
        <f>Grundtab!$B$93+Grundtab!$B$94*O$35+Grundtab!$B$95*O$36+Grundtab!$B$99*O$41+Grundtab!$B$96*O$37+Grundtab!$B$98*O$40+Grundtab!$B$97*O$39</f>
        <v>1392.3810000000001</v>
      </c>
      <c r="P30" s="117">
        <f>Grundtab!$B$93+Grundtab!$B$94*P$35+Grundtab!$B$95*P$36+Grundtab!$B$99*P$41+Grundtab!$B$96*P$37+Grundtab!$B$98*P$40+Grundtab!$B$97*P$39</f>
        <v>1392.3810000000001</v>
      </c>
      <c r="Q30" s="117">
        <f>Grundtab!$B$93+Grundtab!$B$94*Q$35+Grundtab!$B$95*Q$36+Grundtab!$B$99*Q$41+Grundtab!$B$96*Q$37+Grundtab!$B$98*Q$40+Grundtab!$B$97*Q$39</f>
        <v>1392.3810000000001</v>
      </c>
      <c r="R30" s="117">
        <f>Grundtab!$B$93+Grundtab!$B$94*R$35+Grundtab!$B$95*R$36+Grundtab!$B$99*R$41+Grundtab!$B$96*R$37+Grundtab!$B$98*R$40+Grundtab!$B$97*R$39</f>
        <v>1392.3810000000001</v>
      </c>
      <c r="S30" s="117">
        <f>Grundtab!$B$93+Grundtab!$B$94*S$35+Grundtab!$B$95*S$36+Grundtab!$B$99*S$41+Grundtab!$B$96*S$37+Grundtab!$B$98*S$40+Grundtab!$B$97*S$39</f>
        <v>1392.3810000000001</v>
      </c>
      <c r="T30" s="117">
        <f>Grundtab!$B$93+Grundtab!$B$94*T$35+Grundtab!$B$95*T$36+Grundtab!$B$99*T$41+Grundtab!$B$96*T$37+Grundtab!$B$98*T$40+Grundtab!$B$97*T$39</f>
        <v>1392.3810000000001</v>
      </c>
      <c r="U30" s="117">
        <f>Grundtab!$B$93+Grundtab!$B$94*U$35+Grundtab!$B$95*U$36+Grundtab!$B$99*U$41+Grundtab!$B$96*U$37+Grundtab!$B$98*U$40+Grundtab!$B$97*U$39</f>
        <v>1392.3810000000001</v>
      </c>
      <c r="V30" s="117">
        <f>Grundtab!$B$93+Grundtab!$B$94*V$35+Grundtab!$B$95*V$36+Grundtab!$B$99*V$41+Grundtab!$B$96*V$37+Grundtab!$B$98*V$40+Grundtab!$B$97*V$39</f>
        <v>1392.3810000000001</v>
      </c>
      <c r="W30" s="117">
        <f>Grundtab!$B$93+Grundtab!$B$94*W$35+Grundtab!$B$95*W$36+Grundtab!$B$99*W$41+Grundtab!$B$96*W$37+Grundtab!$B$98*W$40+Grundtab!$B$97*W$39</f>
        <v>1392.3810000000001</v>
      </c>
      <c r="X30" s="117">
        <f>Grundtab!$B$93+Grundtab!$B$94*X$35+Grundtab!$B$95*X$36+Grundtab!$B$99*X$41+Grundtab!$B$96*X$37+Grundtab!$B$98*X$40+Grundtab!$B$97*X$39</f>
        <v>1392.3810000000001</v>
      </c>
      <c r="Y30" s="117">
        <f>Grundtab!$B$93+Grundtab!$B$94*Y$35+Grundtab!$B$95*Y$36+Grundtab!$B$99*Y$41+Grundtab!$B$96*Y$37+Grundtab!$B$98*Y$40+Grundtab!$B$97*Y$39</f>
        <v>1392.3810000000001</v>
      </c>
      <c r="Z30" s="117">
        <f>Grundtab!$B$93+Grundtab!$B$94*Z$35+Grundtab!$B$95*Z$36+Grundtab!$B$99*Z$41+Grundtab!$B$96*Z$37+Grundtab!$B$98*Z$40+Grundtab!$B$97*Z$39</f>
        <v>1392.3810000000001</v>
      </c>
    </row>
    <row r="31" spans="1:26" s="38" customFormat="1" ht="36" customHeight="1" x14ac:dyDescent="0.2">
      <c r="A31" s="192"/>
      <c r="B31" s="40" t="s">
        <v>171</v>
      </c>
      <c r="C31" s="117">
        <f>Grundtab!$B$101+Grundtab!$B$107*C$41+Grundtab!$B$102*C$35+Grundtab!$B$103*C$36+Grundtab!$B$106*C$40+Grundtab!$B$104*C$37+Grundtab!$B$105*C$39</f>
        <v>1682.81</v>
      </c>
      <c r="D31" s="117">
        <f>Grundtab!$B$101+Grundtab!$B$107*D$41+Grundtab!$B$102*D$35+Grundtab!$B$103*D$36+Grundtab!$B$106*D$40+Grundtab!$B$104*D$37+Grundtab!$B$105*D$39</f>
        <v>1682.81</v>
      </c>
      <c r="E31" s="117">
        <f>Grundtab!$B$101+Grundtab!$B$107*E$41+Grundtab!$B$102*E$35+Grundtab!$B$103*E$36+Grundtab!$B$106*E$40+Grundtab!$B$104*E$37+Grundtab!$B$105*E$39</f>
        <v>1682.81</v>
      </c>
      <c r="F31" s="117">
        <f>Grundtab!$B$101+Grundtab!$B$107*F$41+Grundtab!$B$102*F$35+Grundtab!$B$103*F$36+Grundtab!$B$106*F$40+Grundtab!$B$104*F$37+Grundtab!$B$105*F$39</f>
        <v>1682.81</v>
      </c>
      <c r="G31" s="117">
        <f>Grundtab!$B$101+Grundtab!$B$107*G$41+Grundtab!$B$102*G$35+Grundtab!$B$103*G$36+Grundtab!$B$106*G$40+Grundtab!$B$104*G$37+Grundtab!$B$105*G$39</f>
        <v>1682.81</v>
      </c>
      <c r="H31" s="117">
        <f>Grundtab!$B$101+Grundtab!$B$107*H$41+Grundtab!$B$102*H$35+Grundtab!$B$103*H$36+Grundtab!$B$106*H$40+Grundtab!$B$104*H$37+Grundtab!$B$105*H$39</f>
        <v>1682.81</v>
      </c>
      <c r="I31" s="117">
        <f>Grundtab!$B$101+Grundtab!$B$107*I$41+Grundtab!$B$102*I$35+Grundtab!$B$103*I$36+Grundtab!$B$106*I$40+Grundtab!$B$104*I$37+Grundtab!$B$105*I$39</f>
        <v>1682.81</v>
      </c>
      <c r="J31" s="117">
        <f>Grundtab!$B$101+Grundtab!$B$107*J$41+Grundtab!$B$102*J$35+Grundtab!$B$103*J$36+Grundtab!$B$106*J$40+Grundtab!$B$104*J$37+Grundtab!$B$105*J$39</f>
        <v>1682.81</v>
      </c>
      <c r="K31" s="117">
        <f>Grundtab!$B$101+Grundtab!$B$107*K$41+Grundtab!$B$102*K$35+Grundtab!$B$103*K$36+Grundtab!$B$106*K$40+Grundtab!$B$104*K$37+Grundtab!$B$105*K$39</f>
        <v>1682.81</v>
      </c>
      <c r="L31" s="117">
        <f>Grundtab!$B$101+Grundtab!$B$107*L$41+Grundtab!$B$102*L$35+Grundtab!$B$103*L$36+Grundtab!$B$106*L$40+Grundtab!$B$104*L$37+Grundtab!$B$105*L$39</f>
        <v>1682.81</v>
      </c>
      <c r="M31" s="117">
        <f>Grundtab!$B$101+Grundtab!$B$107*M$41+Grundtab!$B$102*M$35+Grundtab!$B$103*M$36+Grundtab!$B$106*M$40+Grundtab!$B$104*M$37+Grundtab!$B$105*M$39</f>
        <v>1682.81</v>
      </c>
      <c r="N31" s="117">
        <f>Grundtab!$B$101+Grundtab!$B$107*N$41+Grundtab!$B$102*N$35+Grundtab!$B$103*N$36+Grundtab!$B$106*N$40+Grundtab!$B$104*N$37+Grundtab!$B$105*N$39</f>
        <v>1682.81</v>
      </c>
      <c r="O31" s="117">
        <f>Grundtab!$B$101+Grundtab!$B$107*O$41+Grundtab!$B$102*O$35+Grundtab!$B$103*O$36+Grundtab!$B$106*O$40+Grundtab!$B$104*O$37+Grundtab!$B$105*O$39</f>
        <v>1682.81</v>
      </c>
      <c r="P31" s="117">
        <f>Grundtab!$B$101+Grundtab!$B$107*P$41+Grundtab!$B$102*P$35+Grundtab!$B$103*P$36+Grundtab!$B$106*P$40+Grundtab!$B$104*P$37+Grundtab!$B$105*P$39</f>
        <v>1682.81</v>
      </c>
      <c r="Q31" s="117">
        <f>Grundtab!$B$101+Grundtab!$B$107*Q$41+Grundtab!$B$102*Q$35+Grundtab!$B$103*Q$36+Grundtab!$B$106*Q$40+Grundtab!$B$104*Q$37+Grundtab!$B$105*Q$39</f>
        <v>1682.81</v>
      </c>
      <c r="R31" s="117">
        <f>Grundtab!$B$101+Grundtab!$B$107*R$41+Grundtab!$B$102*R$35+Grundtab!$B$103*R$36+Grundtab!$B$106*R$40+Grundtab!$B$104*R$37+Grundtab!$B$105*R$39</f>
        <v>1682.81</v>
      </c>
      <c r="S31" s="117">
        <f>Grundtab!$B$101+Grundtab!$B$107*S$41+Grundtab!$B$102*S$35+Grundtab!$B$103*S$36+Grundtab!$B$106*S$40+Grundtab!$B$104*S$37+Grundtab!$B$105*S$39</f>
        <v>1682.81</v>
      </c>
      <c r="T31" s="117">
        <f>Grundtab!$B$101+Grundtab!$B$107*T$41+Grundtab!$B$102*T$35+Grundtab!$B$103*T$36+Grundtab!$B$106*T$40+Grundtab!$B$104*T$37+Grundtab!$B$105*T$39</f>
        <v>1682.81</v>
      </c>
      <c r="U31" s="117">
        <f>Grundtab!$B$101+Grundtab!$B$107*U$41+Grundtab!$B$102*U$35+Grundtab!$B$103*U$36+Grundtab!$B$106*U$40+Grundtab!$B$104*U$37+Grundtab!$B$105*U$39</f>
        <v>1682.81</v>
      </c>
      <c r="V31" s="117">
        <f>Grundtab!$B$101+Grundtab!$B$107*V$41+Grundtab!$B$102*V$35+Grundtab!$B$103*V$36+Grundtab!$B$106*V$40+Grundtab!$B$104*V$37+Grundtab!$B$105*V$39</f>
        <v>1682.81</v>
      </c>
      <c r="W31" s="117">
        <f>Grundtab!$B$101+Grundtab!$B$107*W$41+Grundtab!$B$102*W$35+Grundtab!$B$103*W$36+Grundtab!$B$106*W$40+Grundtab!$B$104*W$37+Grundtab!$B$105*W$39</f>
        <v>1682.81</v>
      </c>
      <c r="X31" s="117">
        <f>Grundtab!$B$101+Grundtab!$B$107*X$41+Grundtab!$B$102*X$35+Grundtab!$B$103*X$36+Grundtab!$B$106*X$40+Grundtab!$B$104*X$37+Grundtab!$B$105*X$39</f>
        <v>1682.81</v>
      </c>
      <c r="Y31" s="117">
        <f>Grundtab!$B$101+Grundtab!$B$107*Y$41+Grundtab!$B$102*Y$35+Grundtab!$B$103*Y$36+Grundtab!$B$106*Y$40+Grundtab!$B$104*Y$37+Grundtab!$B$105*Y$39</f>
        <v>1682.81</v>
      </c>
      <c r="Z31" s="117">
        <f>Grundtab!$B$101+Grundtab!$B$107*Z$41+Grundtab!$B$102*Z$35+Grundtab!$B$103*Z$36+Grundtab!$B$106*Z$40+Grundtab!$B$104*Z$37+Grundtab!$B$105*Z$39</f>
        <v>1682.81</v>
      </c>
    </row>
    <row r="32" spans="1:26" s="53" customFormat="1" ht="12" customHeight="1" x14ac:dyDescent="0.2">
      <c r="A32" s="54"/>
      <c r="B32" s="58"/>
      <c r="C32" s="56"/>
      <c r="D32" s="56"/>
      <c r="E32" s="56"/>
      <c r="F32" s="56"/>
      <c r="G32" s="56"/>
      <c r="H32" s="56"/>
      <c r="I32" s="56"/>
      <c r="J32" s="56"/>
      <c r="K32" s="56"/>
      <c r="L32" s="56"/>
      <c r="M32" s="56"/>
      <c r="N32" s="56"/>
      <c r="O32" s="56"/>
      <c r="P32" s="56"/>
      <c r="Q32" s="56"/>
      <c r="R32" s="56"/>
      <c r="S32" s="56"/>
      <c r="T32" s="56"/>
      <c r="U32" s="56"/>
      <c r="V32" s="56"/>
      <c r="W32" s="56"/>
      <c r="X32" s="56"/>
      <c r="Y32" s="56"/>
      <c r="Z32" s="56"/>
    </row>
    <row r="33" spans="1:26" s="45" customFormat="1" ht="39" customHeight="1" x14ac:dyDescent="0.2">
      <c r="A33" s="190" t="s">
        <v>183</v>
      </c>
      <c r="B33" s="191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</row>
    <row r="34" spans="1:26" ht="24" customHeight="1" x14ac:dyDescent="0.2">
      <c r="A34" s="192" t="s">
        <v>169</v>
      </c>
      <c r="B34" s="42" t="s">
        <v>48</v>
      </c>
      <c r="C34" s="115">
        <f>an!C$46</f>
        <v>0</v>
      </c>
      <c r="D34" s="115">
        <f>an!D$46</f>
        <v>0</v>
      </c>
      <c r="E34" s="115">
        <f>an!E$46</f>
        <v>0</v>
      </c>
      <c r="F34" s="115">
        <f>an!F$46</f>
        <v>0</v>
      </c>
      <c r="G34" s="115">
        <f>an!G$46</f>
        <v>0</v>
      </c>
      <c r="H34" s="115">
        <f>an!H$46</f>
        <v>0</v>
      </c>
      <c r="I34" s="115">
        <f>an!I$46</f>
        <v>0</v>
      </c>
      <c r="J34" s="115">
        <f>an!J$46</f>
        <v>0</v>
      </c>
      <c r="K34" s="115">
        <f>an!K$46</f>
        <v>0</v>
      </c>
      <c r="L34" s="115">
        <f>an!L$46</f>
        <v>0</v>
      </c>
      <c r="M34" s="115">
        <f>an!M$46</f>
        <v>0</v>
      </c>
      <c r="N34" s="115">
        <f>an!N$46</f>
        <v>0</v>
      </c>
      <c r="O34" s="115">
        <f>an!O$46</f>
        <v>0</v>
      </c>
      <c r="P34" s="115">
        <f>an!P$46</f>
        <v>0</v>
      </c>
      <c r="Q34" s="115">
        <f>an!Q$46</f>
        <v>0</v>
      </c>
      <c r="R34" s="115">
        <f>an!R$46</f>
        <v>0</v>
      </c>
      <c r="S34" s="115">
        <f>an!S$46</f>
        <v>0</v>
      </c>
      <c r="T34" s="115">
        <f>an!T$46</f>
        <v>0</v>
      </c>
      <c r="U34" s="115">
        <f>an!U$46</f>
        <v>0</v>
      </c>
      <c r="V34" s="115">
        <f>an!V$46</f>
        <v>0</v>
      </c>
      <c r="W34" s="115">
        <f>an!W$46</f>
        <v>0</v>
      </c>
      <c r="X34" s="115">
        <f>an!X$46</f>
        <v>0</v>
      </c>
      <c r="Y34" s="115">
        <f>an!Y$46</f>
        <v>0</v>
      </c>
      <c r="Z34" s="115">
        <f>an!Z$46</f>
        <v>0</v>
      </c>
    </row>
    <row r="35" spans="1:26" ht="24" customHeight="1" x14ac:dyDescent="0.2">
      <c r="A35" s="192"/>
      <c r="B35" s="42" t="s">
        <v>138</v>
      </c>
      <c r="C35" s="115">
        <f>an!C$47</f>
        <v>0</v>
      </c>
      <c r="D35" s="115">
        <f>an!D$47</f>
        <v>0</v>
      </c>
      <c r="E35" s="115">
        <f>an!E$47</f>
        <v>0</v>
      </c>
      <c r="F35" s="115">
        <f>an!F$47</f>
        <v>0</v>
      </c>
      <c r="G35" s="115">
        <f>an!G$47</f>
        <v>0</v>
      </c>
      <c r="H35" s="115">
        <f>an!H$47</f>
        <v>0</v>
      </c>
      <c r="I35" s="115">
        <f>an!I$47</f>
        <v>0</v>
      </c>
      <c r="J35" s="115">
        <f>an!J$47</f>
        <v>0</v>
      </c>
      <c r="K35" s="115">
        <f>an!K$47</f>
        <v>0</v>
      </c>
      <c r="L35" s="115">
        <f>an!L$47</f>
        <v>0</v>
      </c>
      <c r="M35" s="115">
        <f>an!M$47</f>
        <v>0</v>
      </c>
      <c r="N35" s="115">
        <f>an!N$47</f>
        <v>0</v>
      </c>
      <c r="O35" s="115">
        <f>an!O$47</f>
        <v>0</v>
      </c>
      <c r="P35" s="115">
        <f>an!P$47</f>
        <v>0</v>
      </c>
      <c r="Q35" s="115">
        <f>an!Q$47</f>
        <v>0</v>
      </c>
      <c r="R35" s="115">
        <f>an!R$47</f>
        <v>0</v>
      </c>
      <c r="S35" s="115">
        <f>an!S$47</f>
        <v>0</v>
      </c>
      <c r="T35" s="115">
        <f>an!T$47</f>
        <v>0</v>
      </c>
      <c r="U35" s="115">
        <f>an!U$47</f>
        <v>0</v>
      </c>
      <c r="V35" s="115">
        <f>an!V$47</f>
        <v>0</v>
      </c>
      <c r="W35" s="115">
        <f>an!W$47</f>
        <v>0</v>
      </c>
      <c r="X35" s="115">
        <f>an!X$47</f>
        <v>0</v>
      </c>
      <c r="Y35" s="115">
        <f>an!Y$47</f>
        <v>0</v>
      </c>
      <c r="Z35" s="115">
        <f>an!Z$47</f>
        <v>0</v>
      </c>
    </row>
    <row r="36" spans="1:26" ht="24" customHeight="1" x14ac:dyDescent="0.2">
      <c r="A36" s="192"/>
      <c r="B36" s="46" t="s">
        <v>49</v>
      </c>
      <c r="C36" s="115">
        <f>an!C$48</f>
        <v>0</v>
      </c>
      <c r="D36" s="115">
        <f>an!D$48</f>
        <v>0</v>
      </c>
      <c r="E36" s="115">
        <f>an!E$48</f>
        <v>0</v>
      </c>
      <c r="F36" s="115">
        <f>an!F$48</f>
        <v>0</v>
      </c>
      <c r="G36" s="115">
        <f>an!G$48</f>
        <v>0</v>
      </c>
      <c r="H36" s="115">
        <f>an!H$48</f>
        <v>0</v>
      </c>
      <c r="I36" s="115">
        <f>an!I$48</f>
        <v>0</v>
      </c>
      <c r="J36" s="115">
        <f>an!J$48</f>
        <v>0</v>
      </c>
      <c r="K36" s="115">
        <f>an!K$48</f>
        <v>0</v>
      </c>
      <c r="L36" s="115">
        <f>an!L$48</f>
        <v>0</v>
      </c>
      <c r="M36" s="115">
        <f>an!M$48</f>
        <v>0</v>
      </c>
      <c r="N36" s="115">
        <f>an!N$48</f>
        <v>0</v>
      </c>
      <c r="O36" s="115">
        <f>an!O$48</f>
        <v>0</v>
      </c>
      <c r="P36" s="115">
        <f>an!P$48</f>
        <v>0</v>
      </c>
      <c r="Q36" s="115">
        <f>an!Q$48</f>
        <v>0</v>
      </c>
      <c r="R36" s="115">
        <f>an!R$48</f>
        <v>0</v>
      </c>
      <c r="S36" s="115">
        <f>an!S$48</f>
        <v>0</v>
      </c>
      <c r="T36" s="115">
        <f>an!T$48</f>
        <v>0</v>
      </c>
      <c r="U36" s="115">
        <f>an!U$48</f>
        <v>0</v>
      </c>
      <c r="V36" s="115">
        <f>an!V$48</f>
        <v>0</v>
      </c>
      <c r="W36" s="115">
        <f>an!W$48</f>
        <v>0</v>
      </c>
      <c r="X36" s="115">
        <f>an!X$48</f>
        <v>0</v>
      </c>
      <c r="Y36" s="115">
        <f>an!Y$48</f>
        <v>0</v>
      </c>
      <c r="Z36" s="115">
        <f>an!Z$48</f>
        <v>0</v>
      </c>
    </row>
    <row r="37" spans="1:26" ht="24" customHeight="1" x14ac:dyDescent="0.2">
      <c r="A37" s="192"/>
      <c r="B37" s="42" t="s">
        <v>51</v>
      </c>
      <c r="C37" s="115">
        <f>an!C$49</f>
        <v>0</v>
      </c>
      <c r="D37" s="115">
        <f>an!D$49</f>
        <v>0</v>
      </c>
      <c r="E37" s="115">
        <f>an!E$49</f>
        <v>0</v>
      </c>
      <c r="F37" s="115">
        <f>an!F$49</f>
        <v>0</v>
      </c>
      <c r="G37" s="115">
        <f>an!G$49</f>
        <v>0</v>
      </c>
      <c r="H37" s="115">
        <f>an!H$49</f>
        <v>0</v>
      </c>
      <c r="I37" s="115">
        <f>an!I$49</f>
        <v>0</v>
      </c>
      <c r="J37" s="115">
        <f>an!J$49</f>
        <v>0</v>
      </c>
      <c r="K37" s="115">
        <f>an!K$49</f>
        <v>0</v>
      </c>
      <c r="L37" s="115">
        <f>an!L$49</f>
        <v>0</v>
      </c>
      <c r="M37" s="115">
        <f>an!M$49</f>
        <v>0</v>
      </c>
      <c r="N37" s="115">
        <f>an!N$49</f>
        <v>0</v>
      </c>
      <c r="O37" s="115">
        <f>an!O$49</f>
        <v>0</v>
      </c>
      <c r="P37" s="115">
        <f>an!P$49</f>
        <v>0</v>
      </c>
      <c r="Q37" s="115">
        <f>an!Q$49</f>
        <v>0</v>
      </c>
      <c r="R37" s="115">
        <f>an!R$49</f>
        <v>0</v>
      </c>
      <c r="S37" s="115">
        <f>an!S$49</f>
        <v>0</v>
      </c>
      <c r="T37" s="115">
        <f>an!T$49</f>
        <v>0</v>
      </c>
      <c r="U37" s="115">
        <f>an!U$49</f>
        <v>0</v>
      </c>
      <c r="V37" s="115">
        <f>an!V$49</f>
        <v>0</v>
      </c>
      <c r="W37" s="115">
        <f>an!W$49</f>
        <v>0</v>
      </c>
      <c r="X37" s="115">
        <f>an!X$49</f>
        <v>0</v>
      </c>
      <c r="Y37" s="115">
        <f>an!Y$49</f>
        <v>0</v>
      </c>
      <c r="Z37" s="115">
        <f>an!Z$49</f>
        <v>0</v>
      </c>
    </row>
    <row r="38" spans="1:26" ht="24" customHeight="1" x14ac:dyDescent="0.2">
      <c r="A38" s="192"/>
      <c r="B38" s="47" t="s">
        <v>141</v>
      </c>
      <c r="C38" s="115">
        <f>an!C$50</f>
        <v>0</v>
      </c>
      <c r="D38" s="115">
        <f>an!D$50</f>
        <v>0</v>
      </c>
      <c r="E38" s="115">
        <f>an!E$50</f>
        <v>0</v>
      </c>
      <c r="F38" s="115">
        <f>an!F$50</f>
        <v>0</v>
      </c>
      <c r="G38" s="115">
        <f>an!G$50</f>
        <v>0</v>
      </c>
      <c r="H38" s="115">
        <f>an!H$50</f>
        <v>0</v>
      </c>
      <c r="I38" s="115">
        <f>an!I$50</f>
        <v>0</v>
      </c>
      <c r="J38" s="115">
        <f>an!J$50</f>
        <v>0</v>
      </c>
      <c r="K38" s="115">
        <f>an!K$50</f>
        <v>0</v>
      </c>
      <c r="L38" s="115">
        <f>an!L$50</f>
        <v>0</v>
      </c>
      <c r="M38" s="115">
        <f>an!M$50</f>
        <v>0</v>
      </c>
      <c r="N38" s="115">
        <f>an!N$50</f>
        <v>0</v>
      </c>
      <c r="O38" s="115">
        <f>an!O$50</f>
        <v>0</v>
      </c>
      <c r="P38" s="115">
        <f>an!P$50</f>
        <v>0</v>
      </c>
      <c r="Q38" s="115">
        <f>an!Q$50</f>
        <v>0</v>
      </c>
      <c r="R38" s="115">
        <f>an!R$50</f>
        <v>0</v>
      </c>
      <c r="S38" s="115">
        <f>an!S$50</f>
        <v>0</v>
      </c>
      <c r="T38" s="115">
        <f>an!T$50</f>
        <v>0</v>
      </c>
      <c r="U38" s="115">
        <f>an!U$50</f>
        <v>0</v>
      </c>
      <c r="V38" s="115">
        <f>an!V$50</f>
        <v>0</v>
      </c>
      <c r="W38" s="115">
        <f>an!W$50</f>
        <v>0</v>
      </c>
      <c r="X38" s="115">
        <f>an!X$50</f>
        <v>0</v>
      </c>
      <c r="Y38" s="115">
        <f>an!Y$50</f>
        <v>0</v>
      </c>
      <c r="Z38" s="115">
        <f>an!Z$50</f>
        <v>0</v>
      </c>
    </row>
    <row r="39" spans="1:26" ht="24" customHeight="1" x14ac:dyDescent="0.2">
      <c r="A39" s="192"/>
      <c r="B39" s="42" t="s">
        <v>50</v>
      </c>
      <c r="C39" s="115">
        <f>an!C$51</f>
        <v>0</v>
      </c>
      <c r="D39" s="115">
        <f>an!D$51</f>
        <v>0</v>
      </c>
      <c r="E39" s="115">
        <f>an!E$51</f>
        <v>0</v>
      </c>
      <c r="F39" s="115">
        <f>an!F$51</f>
        <v>0</v>
      </c>
      <c r="G39" s="115">
        <f>an!G$51</f>
        <v>0</v>
      </c>
      <c r="H39" s="115">
        <f>an!H$51</f>
        <v>0</v>
      </c>
      <c r="I39" s="115">
        <f>an!I$51</f>
        <v>0</v>
      </c>
      <c r="J39" s="115">
        <f>an!J$51</f>
        <v>0</v>
      </c>
      <c r="K39" s="115">
        <f>an!K$51</f>
        <v>0</v>
      </c>
      <c r="L39" s="115">
        <f>an!L$51</f>
        <v>0</v>
      </c>
      <c r="M39" s="115">
        <f>an!M$51</f>
        <v>0</v>
      </c>
      <c r="N39" s="115">
        <f>an!N$51</f>
        <v>0</v>
      </c>
      <c r="O39" s="115">
        <f>an!O$51</f>
        <v>0</v>
      </c>
      <c r="P39" s="115">
        <f>an!P$51</f>
        <v>0</v>
      </c>
      <c r="Q39" s="115">
        <f>an!Q$51</f>
        <v>0</v>
      </c>
      <c r="R39" s="115">
        <f>an!R$51</f>
        <v>0</v>
      </c>
      <c r="S39" s="115">
        <f>an!S$51</f>
        <v>0</v>
      </c>
      <c r="T39" s="115">
        <f>an!T$51</f>
        <v>0</v>
      </c>
      <c r="U39" s="115">
        <f>an!U$51</f>
        <v>0</v>
      </c>
      <c r="V39" s="115">
        <f>an!V$51</f>
        <v>0</v>
      </c>
      <c r="W39" s="115">
        <f>an!W$51</f>
        <v>0</v>
      </c>
      <c r="X39" s="115">
        <f>an!X$51</f>
        <v>0</v>
      </c>
      <c r="Y39" s="115">
        <f>an!Y$51</f>
        <v>0</v>
      </c>
      <c r="Z39" s="115">
        <f>an!Z$51</f>
        <v>0</v>
      </c>
    </row>
    <row r="40" spans="1:26" ht="24" customHeight="1" x14ac:dyDescent="0.2">
      <c r="A40" s="192"/>
      <c r="B40" s="42" t="s">
        <v>53</v>
      </c>
      <c r="C40" s="115">
        <f>an!C$52</f>
        <v>0</v>
      </c>
      <c r="D40" s="115">
        <f>an!D$52</f>
        <v>0</v>
      </c>
      <c r="E40" s="115">
        <f>an!E$52</f>
        <v>0</v>
      </c>
      <c r="F40" s="115">
        <f>an!F$52</f>
        <v>0</v>
      </c>
      <c r="G40" s="115">
        <f>an!G$52</f>
        <v>0</v>
      </c>
      <c r="H40" s="115">
        <f>an!H$52</f>
        <v>0</v>
      </c>
      <c r="I40" s="115">
        <f>an!I$52</f>
        <v>0</v>
      </c>
      <c r="J40" s="115">
        <f>an!J$52</f>
        <v>0</v>
      </c>
      <c r="K40" s="115">
        <f>an!K$52</f>
        <v>0</v>
      </c>
      <c r="L40" s="115">
        <f>an!L$52</f>
        <v>0</v>
      </c>
      <c r="M40" s="115">
        <f>an!M$52</f>
        <v>0</v>
      </c>
      <c r="N40" s="115">
        <f>an!N$52</f>
        <v>0</v>
      </c>
      <c r="O40" s="115">
        <f>an!O$52</f>
        <v>0</v>
      </c>
      <c r="P40" s="115">
        <f>an!P$52</f>
        <v>0</v>
      </c>
      <c r="Q40" s="115">
        <f>an!Q$52</f>
        <v>0</v>
      </c>
      <c r="R40" s="115">
        <f>an!R$52</f>
        <v>0</v>
      </c>
      <c r="S40" s="115">
        <f>an!S$52</f>
        <v>0</v>
      </c>
      <c r="T40" s="115">
        <f>an!T$52</f>
        <v>0</v>
      </c>
      <c r="U40" s="115">
        <f>an!U$52</f>
        <v>0</v>
      </c>
      <c r="V40" s="115">
        <f>an!V$52</f>
        <v>0</v>
      </c>
      <c r="W40" s="115">
        <f>an!W$52</f>
        <v>0</v>
      </c>
      <c r="X40" s="115">
        <f>an!X$52</f>
        <v>0</v>
      </c>
      <c r="Y40" s="115">
        <f>an!Y$52</f>
        <v>0</v>
      </c>
      <c r="Z40" s="115">
        <f>an!Z$52</f>
        <v>0</v>
      </c>
    </row>
    <row r="41" spans="1:26" ht="24" customHeight="1" x14ac:dyDescent="0.2">
      <c r="A41" s="192"/>
      <c r="B41" s="47" t="s">
        <v>52</v>
      </c>
      <c r="C41" s="115">
        <f>an!C$53</f>
        <v>0</v>
      </c>
      <c r="D41" s="115">
        <f>an!D$53</f>
        <v>0</v>
      </c>
      <c r="E41" s="115">
        <f>an!E$53</f>
        <v>0</v>
      </c>
      <c r="F41" s="115">
        <f>an!F$53</f>
        <v>0</v>
      </c>
      <c r="G41" s="115">
        <f>an!G$53</f>
        <v>0</v>
      </c>
      <c r="H41" s="115">
        <f>an!H$53</f>
        <v>0</v>
      </c>
      <c r="I41" s="115">
        <f>an!I$53</f>
        <v>0</v>
      </c>
      <c r="J41" s="115">
        <f>an!J$53</f>
        <v>0</v>
      </c>
      <c r="K41" s="115">
        <f>an!K$53</f>
        <v>0</v>
      </c>
      <c r="L41" s="115">
        <f>an!L$53</f>
        <v>0</v>
      </c>
      <c r="M41" s="115">
        <f>an!M$53</f>
        <v>0</v>
      </c>
      <c r="N41" s="115">
        <f>an!N$53</f>
        <v>0</v>
      </c>
      <c r="O41" s="115">
        <f>an!O$53</f>
        <v>0</v>
      </c>
      <c r="P41" s="115">
        <f>an!P$53</f>
        <v>0</v>
      </c>
      <c r="Q41" s="115">
        <f>an!Q$53</f>
        <v>0</v>
      </c>
      <c r="R41" s="115">
        <f>an!R$53</f>
        <v>0</v>
      </c>
      <c r="S41" s="115">
        <f>an!S$53</f>
        <v>0</v>
      </c>
      <c r="T41" s="115">
        <f>an!T$53</f>
        <v>0</v>
      </c>
      <c r="U41" s="115">
        <f>an!U$53</f>
        <v>0</v>
      </c>
      <c r="V41" s="115">
        <f>an!V$53</f>
        <v>0</v>
      </c>
      <c r="W41" s="115">
        <f>an!W$53</f>
        <v>0</v>
      </c>
      <c r="X41" s="115">
        <f>an!X$53</f>
        <v>0</v>
      </c>
      <c r="Y41" s="115">
        <f>an!Y$53</f>
        <v>0</v>
      </c>
      <c r="Z41" s="115">
        <f>an!Z$53</f>
        <v>0</v>
      </c>
    </row>
    <row r="42" spans="1:26" ht="24" customHeight="1" x14ac:dyDescent="0.2">
      <c r="A42" s="192"/>
      <c r="B42" s="46" t="s">
        <v>54</v>
      </c>
      <c r="C42" s="115">
        <f>an!C$54</f>
        <v>0</v>
      </c>
      <c r="D42" s="115">
        <f>an!D$54</f>
        <v>0</v>
      </c>
      <c r="E42" s="115">
        <f>an!E$54</f>
        <v>0</v>
      </c>
      <c r="F42" s="115">
        <f>an!F$54</f>
        <v>0</v>
      </c>
      <c r="G42" s="115">
        <f>an!G$54</f>
        <v>0</v>
      </c>
      <c r="H42" s="115">
        <f>an!H$54</f>
        <v>0</v>
      </c>
      <c r="I42" s="115">
        <f>an!I$54</f>
        <v>0</v>
      </c>
      <c r="J42" s="115">
        <f>an!J$54</f>
        <v>0</v>
      </c>
      <c r="K42" s="115">
        <f>an!K$54</f>
        <v>0</v>
      </c>
      <c r="L42" s="115">
        <f>an!L$54</f>
        <v>0</v>
      </c>
      <c r="M42" s="115">
        <f>an!M$54</f>
        <v>0</v>
      </c>
      <c r="N42" s="115">
        <f>an!N$54</f>
        <v>0</v>
      </c>
      <c r="O42" s="115">
        <f>an!O$54</f>
        <v>0</v>
      </c>
      <c r="P42" s="115">
        <f>an!P$54</f>
        <v>0</v>
      </c>
      <c r="Q42" s="115">
        <f>an!Q$54</f>
        <v>0</v>
      </c>
      <c r="R42" s="115">
        <f>an!R$54</f>
        <v>0</v>
      </c>
      <c r="S42" s="115">
        <f>an!S$54</f>
        <v>0</v>
      </c>
      <c r="T42" s="115">
        <f>an!T$54</f>
        <v>0</v>
      </c>
      <c r="U42" s="115">
        <f>an!U$54</f>
        <v>0</v>
      </c>
      <c r="V42" s="115">
        <f>an!V$54</f>
        <v>0</v>
      </c>
      <c r="W42" s="115">
        <f>an!W$54</f>
        <v>0</v>
      </c>
      <c r="X42" s="115">
        <f>an!X$54</f>
        <v>0</v>
      </c>
      <c r="Y42" s="115">
        <f>an!Y$54</f>
        <v>0</v>
      </c>
      <c r="Z42" s="115">
        <f>an!Z$54</f>
        <v>0</v>
      </c>
    </row>
    <row r="43" spans="1:26" s="45" customFormat="1" ht="39" customHeight="1" x14ac:dyDescent="0.2">
      <c r="A43" s="190" t="s">
        <v>184</v>
      </c>
      <c r="B43" s="191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</row>
    <row r="44" spans="1:26" ht="24" customHeight="1" x14ac:dyDescent="0.2">
      <c r="A44" s="192" t="s">
        <v>169</v>
      </c>
      <c r="B44" s="42" t="s">
        <v>122</v>
      </c>
      <c r="C44" s="115">
        <f>an!C$56</f>
        <v>0</v>
      </c>
      <c r="D44" s="115">
        <f>an!D$56</f>
        <v>0</v>
      </c>
      <c r="E44" s="115">
        <f>an!E$56</f>
        <v>0</v>
      </c>
      <c r="F44" s="115">
        <f>an!F$56</f>
        <v>0</v>
      </c>
      <c r="G44" s="115">
        <f>an!G$56</f>
        <v>0</v>
      </c>
      <c r="H44" s="115">
        <f>an!H$56</f>
        <v>0</v>
      </c>
      <c r="I44" s="115">
        <f>an!I$56</f>
        <v>0</v>
      </c>
      <c r="J44" s="115">
        <f>an!J$56</f>
        <v>0</v>
      </c>
      <c r="K44" s="115">
        <f>an!K$56</f>
        <v>0</v>
      </c>
      <c r="L44" s="115">
        <f>an!L$56</f>
        <v>0</v>
      </c>
      <c r="M44" s="115">
        <f>an!M$56</f>
        <v>0</v>
      </c>
      <c r="N44" s="115">
        <f>an!N$56</f>
        <v>0</v>
      </c>
      <c r="O44" s="115">
        <f>an!O$56</f>
        <v>0</v>
      </c>
      <c r="P44" s="115">
        <f>an!P$56</f>
        <v>0</v>
      </c>
      <c r="Q44" s="115">
        <f>an!Q$56</f>
        <v>0</v>
      </c>
      <c r="R44" s="115">
        <f>an!R$56</f>
        <v>0</v>
      </c>
      <c r="S44" s="115">
        <f>an!S$56</f>
        <v>0</v>
      </c>
      <c r="T44" s="115">
        <f>an!T$56</f>
        <v>0</v>
      </c>
      <c r="U44" s="115">
        <f>an!U$56</f>
        <v>0</v>
      </c>
      <c r="V44" s="115">
        <f>an!V$56</f>
        <v>0</v>
      </c>
      <c r="W44" s="115">
        <f>an!W$56</f>
        <v>0</v>
      </c>
      <c r="X44" s="115">
        <f>an!X$56</f>
        <v>0</v>
      </c>
      <c r="Y44" s="115">
        <f>an!Y$56</f>
        <v>0</v>
      </c>
      <c r="Z44" s="115">
        <f>an!Z$56</f>
        <v>0</v>
      </c>
    </row>
    <row r="45" spans="1:26" ht="24" customHeight="1" x14ac:dyDescent="0.2">
      <c r="A45" s="192"/>
      <c r="B45" s="42" t="s">
        <v>128</v>
      </c>
      <c r="C45" s="115">
        <f>an!C$57</f>
        <v>0</v>
      </c>
      <c r="D45" s="115">
        <f>an!D$57</f>
        <v>0</v>
      </c>
      <c r="E45" s="115">
        <f>an!E$57</f>
        <v>0</v>
      </c>
      <c r="F45" s="115">
        <f>an!F$57</f>
        <v>0</v>
      </c>
      <c r="G45" s="115">
        <f>an!G$57</f>
        <v>0</v>
      </c>
      <c r="H45" s="115">
        <f>an!H$57</f>
        <v>0</v>
      </c>
      <c r="I45" s="115">
        <f>an!I$57</f>
        <v>0</v>
      </c>
      <c r="J45" s="115">
        <f>an!J$57</f>
        <v>0</v>
      </c>
      <c r="K45" s="115">
        <f>an!K$57</f>
        <v>0</v>
      </c>
      <c r="L45" s="115">
        <f>an!L$57</f>
        <v>0</v>
      </c>
      <c r="M45" s="115">
        <f>an!M$57</f>
        <v>0</v>
      </c>
      <c r="N45" s="115">
        <f>an!N$57</f>
        <v>0</v>
      </c>
      <c r="O45" s="115">
        <f>an!O$57</f>
        <v>0</v>
      </c>
      <c r="P45" s="115">
        <f>an!P$57</f>
        <v>0</v>
      </c>
      <c r="Q45" s="115">
        <f>an!Q$57</f>
        <v>0</v>
      </c>
      <c r="R45" s="115">
        <f>an!R$57</f>
        <v>0</v>
      </c>
      <c r="S45" s="115">
        <f>an!S$57</f>
        <v>0</v>
      </c>
      <c r="T45" s="115">
        <f>an!T$57</f>
        <v>0</v>
      </c>
      <c r="U45" s="115">
        <f>an!U$57</f>
        <v>0</v>
      </c>
      <c r="V45" s="115">
        <f>an!V$57</f>
        <v>0</v>
      </c>
      <c r="W45" s="115">
        <f>an!W$57</f>
        <v>0</v>
      </c>
      <c r="X45" s="115">
        <f>an!X$57</f>
        <v>0</v>
      </c>
      <c r="Y45" s="115">
        <f>an!Y$57</f>
        <v>0</v>
      </c>
      <c r="Z45" s="115">
        <f>an!Z$57</f>
        <v>0</v>
      </c>
    </row>
    <row r="46" spans="1:26" ht="24" customHeight="1" x14ac:dyDescent="0.2">
      <c r="A46" s="192"/>
      <c r="B46" s="42" t="s">
        <v>123</v>
      </c>
      <c r="C46" s="115">
        <f>an!C$58</f>
        <v>0</v>
      </c>
      <c r="D46" s="115">
        <f>an!D$58</f>
        <v>0</v>
      </c>
      <c r="E46" s="115">
        <f>an!E$58</f>
        <v>0</v>
      </c>
      <c r="F46" s="115">
        <f>an!F$58</f>
        <v>0</v>
      </c>
      <c r="G46" s="115">
        <f>an!G$58</f>
        <v>0</v>
      </c>
      <c r="H46" s="115">
        <f>an!H$58</f>
        <v>0</v>
      </c>
      <c r="I46" s="115">
        <f>an!I$58</f>
        <v>0</v>
      </c>
      <c r="J46" s="115">
        <f>an!J$58</f>
        <v>0</v>
      </c>
      <c r="K46" s="115">
        <f>an!K$58</f>
        <v>0</v>
      </c>
      <c r="L46" s="115">
        <f>an!L$58</f>
        <v>0</v>
      </c>
      <c r="M46" s="115">
        <f>an!M$58</f>
        <v>0</v>
      </c>
      <c r="N46" s="115">
        <f>an!N$58</f>
        <v>0</v>
      </c>
      <c r="O46" s="115">
        <f>an!O$58</f>
        <v>0</v>
      </c>
      <c r="P46" s="115">
        <f>an!P$58</f>
        <v>0</v>
      </c>
      <c r="Q46" s="115">
        <f>an!Q$58</f>
        <v>0</v>
      </c>
      <c r="R46" s="115">
        <f>an!R$58</f>
        <v>0</v>
      </c>
      <c r="S46" s="115">
        <f>an!S$58</f>
        <v>0</v>
      </c>
      <c r="T46" s="115">
        <f>an!T$58</f>
        <v>0</v>
      </c>
      <c r="U46" s="115">
        <f>an!U$58</f>
        <v>0</v>
      </c>
      <c r="V46" s="115">
        <f>an!V$58</f>
        <v>0</v>
      </c>
      <c r="W46" s="115">
        <f>an!W$58</f>
        <v>0</v>
      </c>
      <c r="X46" s="115">
        <f>an!X$58</f>
        <v>0</v>
      </c>
      <c r="Y46" s="115">
        <f>an!Y$58</f>
        <v>0</v>
      </c>
      <c r="Z46" s="115">
        <f>an!Z$58</f>
        <v>0</v>
      </c>
    </row>
    <row r="47" spans="1:26" ht="24" customHeight="1" x14ac:dyDescent="0.2">
      <c r="A47" s="192"/>
      <c r="B47" s="42" t="s">
        <v>129</v>
      </c>
      <c r="C47" s="115">
        <f>an!C$59</f>
        <v>0</v>
      </c>
      <c r="D47" s="115">
        <f>an!D$59</f>
        <v>0</v>
      </c>
      <c r="E47" s="115">
        <f>an!E$59</f>
        <v>0</v>
      </c>
      <c r="F47" s="115">
        <f>an!F$59</f>
        <v>0</v>
      </c>
      <c r="G47" s="115">
        <f>an!G$59</f>
        <v>0</v>
      </c>
      <c r="H47" s="115">
        <f>an!H$59</f>
        <v>0</v>
      </c>
      <c r="I47" s="115">
        <f>an!I$59</f>
        <v>0</v>
      </c>
      <c r="J47" s="115">
        <f>an!J$59</f>
        <v>0</v>
      </c>
      <c r="K47" s="115">
        <f>an!K$59</f>
        <v>0</v>
      </c>
      <c r="L47" s="115">
        <f>an!L$59</f>
        <v>0</v>
      </c>
      <c r="M47" s="115">
        <f>an!M$59</f>
        <v>0</v>
      </c>
      <c r="N47" s="115">
        <f>an!N$59</f>
        <v>0</v>
      </c>
      <c r="O47" s="115">
        <f>an!O$59</f>
        <v>0</v>
      </c>
      <c r="P47" s="115">
        <f>an!P$59</f>
        <v>0</v>
      </c>
      <c r="Q47" s="115">
        <f>an!Q$59</f>
        <v>0</v>
      </c>
      <c r="R47" s="115">
        <f>an!R$59</f>
        <v>0</v>
      </c>
      <c r="S47" s="115">
        <f>an!S$59</f>
        <v>0</v>
      </c>
      <c r="T47" s="115">
        <f>an!T$59</f>
        <v>0</v>
      </c>
      <c r="U47" s="115">
        <f>an!U$59</f>
        <v>0</v>
      </c>
      <c r="V47" s="115">
        <f>an!V$59</f>
        <v>0</v>
      </c>
      <c r="W47" s="115">
        <f>an!W$59</f>
        <v>0</v>
      </c>
      <c r="X47" s="115">
        <f>an!X$59</f>
        <v>0</v>
      </c>
      <c r="Y47" s="115">
        <f>an!Y$59</f>
        <v>0</v>
      </c>
      <c r="Z47" s="115">
        <f>an!Z$59</f>
        <v>0</v>
      </c>
    </row>
    <row r="48" spans="1:26" ht="24" customHeight="1" x14ac:dyDescent="0.2">
      <c r="A48" s="192"/>
      <c r="B48" s="42" t="s">
        <v>130</v>
      </c>
      <c r="C48" s="115">
        <f>an!C$60</f>
        <v>0</v>
      </c>
      <c r="D48" s="115">
        <f>an!D$60</f>
        <v>0</v>
      </c>
      <c r="E48" s="115">
        <f>an!E$60</f>
        <v>0</v>
      </c>
      <c r="F48" s="115">
        <f>an!F$60</f>
        <v>0</v>
      </c>
      <c r="G48" s="115">
        <f>an!G$60</f>
        <v>0</v>
      </c>
      <c r="H48" s="115">
        <f>an!H$60</f>
        <v>0</v>
      </c>
      <c r="I48" s="115">
        <f>an!I$60</f>
        <v>0</v>
      </c>
      <c r="J48" s="115">
        <f>an!J$60</f>
        <v>0</v>
      </c>
      <c r="K48" s="115">
        <f>an!K$60</f>
        <v>0</v>
      </c>
      <c r="L48" s="115">
        <f>an!L$60</f>
        <v>0</v>
      </c>
      <c r="M48" s="115">
        <f>an!M$60</f>
        <v>0</v>
      </c>
      <c r="N48" s="115">
        <f>an!N$60</f>
        <v>0</v>
      </c>
      <c r="O48" s="115">
        <f>an!O$60</f>
        <v>0</v>
      </c>
      <c r="P48" s="115">
        <f>an!P$60</f>
        <v>0</v>
      </c>
      <c r="Q48" s="115">
        <f>an!Q$60</f>
        <v>0</v>
      </c>
      <c r="R48" s="115">
        <f>an!R$60</f>
        <v>0</v>
      </c>
      <c r="S48" s="115">
        <f>an!S$60</f>
        <v>0</v>
      </c>
      <c r="T48" s="115">
        <f>an!T$60</f>
        <v>0</v>
      </c>
      <c r="U48" s="115">
        <f>an!U$60</f>
        <v>0</v>
      </c>
      <c r="V48" s="115">
        <f>an!V$60</f>
        <v>0</v>
      </c>
      <c r="W48" s="115">
        <f>an!W$60</f>
        <v>0</v>
      </c>
      <c r="X48" s="115">
        <f>an!X$60</f>
        <v>0</v>
      </c>
      <c r="Y48" s="115">
        <f>an!Y$60</f>
        <v>0</v>
      </c>
      <c r="Z48" s="115">
        <f>an!Z$60</f>
        <v>0</v>
      </c>
    </row>
    <row r="49" spans="1:26" ht="24" customHeight="1" x14ac:dyDescent="0.2">
      <c r="A49" s="192"/>
      <c r="B49" s="42" t="s">
        <v>124</v>
      </c>
      <c r="C49" s="115">
        <f>an!C$61</f>
        <v>0</v>
      </c>
      <c r="D49" s="115">
        <f>an!D$61</f>
        <v>0</v>
      </c>
      <c r="E49" s="115">
        <f>an!E$61</f>
        <v>0</v>
      </c>
      <c r="F49" s="115">
        <f>an!F$61</f>
        <v>0</v>
      </c>
      <c r="G49" s="115">
        <f>an!G$61</f>
        <v>0</v>
      </c>
      <c r="H49" s="115">
        <f>an!H$61</f>
        <v>0</v>
      </c>
      <c r="I49" s="115">
        <f>an!I$61</f>
        <v>0</v>
      </c>
      <c r="J49" s="115">
        <f>an!J$61</f>
        <v>0</v>
      </c>
      <c r="K49" s="115">
        <f>an!K$61</f>
        <v>0</v>
      </c>
      <c r="L49" s="115">
        <f>an!L$61</f>
        <v>0</v>
      </c>
      <c r="M49" s="115">
        <f>an!M$61</f>
        <v>0</v>
      </c>
      <c r="N49" s="115">
        <f>an!N$61</f>
        <v>0</v>
      </c>
      <c r="O49" s="115">
        <f>an!O$61</f>
        <v>0</v>
      </c>
      <c r="P49" s="115">
        <f>an!P$61</f>
        <v>0</v>
      </c>
      <c r="Q49" s="115">
        <f>an!Q$61</f>
        <v>0</v>
      </c>
      <c r="R49" s="115">
        <f>an!R$61</f>
        <v>0</v>
      </c>
      <c r="S49" s="115">
        <f>an!S$61</f>
        <v>0</v>
      </c>
      <c r="T49" s="115">
        <f>an!T$61</f>
        <v>0</v>
      </c>
      <c r="U49" s="115">
        <f>an!U$61</f>
        <v>0</v>
      </c>
      <c r="V49" s="115">
        <f>an!V$61</f>
        <v>0</v>
      </c>
      <c r="W49" s="115">
        <f>an!W$61</f>
        <v>0</v>
      </c>
      <c r="X49" s="115">
        <f>an!X$61</f>
        <v>0</v>
      </c>
      <c r="Y49" s="115">
        <f>an!Y$61</f>
        <v>0</v>
      </c>
      <c r="Z49" s="115">
        <f>an!Z$61</f>
        <v>0</v>
      </c>
    </row>
    <row r="50" spans="1:26" ht="24" customHeight="1" x14ac:dyDescent="0.2">
      <c r="A50" s="192"/>
      <c r="B50" s="42" t="s">
        <v>15</v>
      </c>
      <c r="C50" s="115">
        <f>an!C$62</f>
        <v>0</v>
      </c>
      <c r="D50" s="115">
        <f>an!D$62</f>
        <v>0</v>
      </c>
      <c r="E50" s="115">
        <f>an!E$62</f>
        <v>0</v>
      </c>
      <c r="F50" s="115">
        <f>an!F$62</f>
        <v>0</v>
      </c>
      <c r="G50" s="115">
        <f>an!G$62</f>
        <v>0</v>
      </c>
      <c r="H50" s="115">
        <f>an!H$62</f>
        <v>0</v>
      </c>
      <c r="I50" s="115">
        <f>an!I$62</f>
        <v>0</v>
      </c>
      <c r="J50" s="115">
        <f>an!J$62</f>
        <v>0</v>
      </c>
      <c r="K50" s="115">
        <f>an!K$62</f>
        <v>0</v>
      </c>
      <c r="L50" s="115">
        <f>an!L$62</f>
        <v>0</v>
      </c>
      <c r="M50" s="115">
        <f>an!M$62</f>
        <v>0</v>
      </c>
      <c r="N50" s="115">
        <f>an!N$62</f>
        <v>0</v>
      </c>
      <c r="O50" s="115">
        <f>an!O$62</f>
        <v>0</v>
      </c>
      <c r="P50" s="115">
        <f>an!P$62</f>
        <v>0</v>
      </c>
      <c r="Q50" s="115">
        <f>an!Q$62</f>
        <v>0</v>
      </c>
      <c r="R50" s="115">
        <f>an!R$62</f>
        <v>0</v>
      </c>
      <c r="S50" s="115">
        <f>an!S$62</f>
        <v>0</v>
      </c>
      <c r="T50" s="115">
        <f>an!T$62</f>
        <v>0</v>
      </c>
      <c r="U50" s="115">
        <f>an!U$62</f>
        <v>0</v>
      </c>
      <c r="V50" s="115">
        <f>an!V$62</f>
        <v>0</v>
      </c>
      <c r="W50" s="115">
        <f>an!W$62</f>
        <v>0</v>
      </c>
      <c r="X50" s="115">
        <f>an!X$62</f>
        <v>0</v>
      </c>
      <c r="Y50" s="115">
        <f>an!Y$62</f>
        <v>0</v>
      </c>
      <c r="Z50" s="115">
        <f>an!Z$62</f>
        <v>0</v>
      </c>
    </row>
    <row r="51" spans="1:26" ht="24" customHeight="1" x14ac:dyDescent="0.2">
      <c r="A51" s="192"/>
      <c r="B51" s="42" t="s">
        <v>125</v>
      </c>
      <c r="C51" s="115">
        <f>an!C$63</f>
        <v>0</v>
      </c>
      <c r="D51" s="115">
        <f>an!D$63</f>
        <v>0</v>
      </c>
      <c r="E51" s="115">
        <f>an!E$63</f>
        <v>0</v>
      </c>
      <c r="F51" s="115">
        <f>an!F$63</f>
        <v>0</v>
      </c>
      <c r="G51" s="115">
        <f>an!G$63</f>
        <v>0</v>
      </c>
      <c r="H51" s="115">
        <f>an!H$63</f>
        <v>0</v>
      </c>
      <c r="I51" s="115">
        <f>an!I$63</f>
        <v>0</v>
      </c>
      <c r="J51" s="115">
        <f>an!J$63</f>
        <v>0</v>
      </c>
      <c r="K51" s="115">
        <f>an!K$63</f>
        <v>0</v>
      </c>
      <c r="L51" s="115">
        <f>an!L$63</f>
        <v>0</v>
      </c>
      <c r="M51" s="115">
        <f>an!M$63</f>
        <v>0</v>
      </c>
      <c r="N51" s="115">
        <f>an!N$63</f>
        <v>0</v>
      </c>
      <c r="O51" s="115">
        <f>an!O$63</f>
        <v>0</v>
      </c>
      <c r="P51" s="115">
        <f>an!P$63</f>
        <v>0</v>
      </c>
      <c r="Q51" s="115">
        <f>an!Q$63</f>
        <v>0</v>
      </c>
      <c r="R51" s="115">
        <f>an!R$63</f>
        <v>0</v>
      </c>
      <c r="S51" s="115">
        <f>an!S$63</f>
        <v>0</v>
      </c>
      <c r="T51" s="115">
        <f>an!T$63</f>
        <v>0</v>
      </c>
      <c r="U51" s="115">
        <f>an!U$63</f>
        <v>0</v>
      </c>
      <c r="V51" s="115">
        <f>an!V$63</f>
        <v>0</v>
      </c>
      <c r="W51" s="115">
        <f>an!W$63</f>
        <v>0</v>
      </c>
      <c r="X51" s="115">
        <f>an!X$63</f>
        <v>0</v>
      </c>
      <c r="Y51" s="115">
        <f>an!Y$63</f>
        <v>0</v>
      </c>
      <c r="Z51" s="115">
        <f>an!Z$63</f>
        <v>0</v>
      </c>
    </row>
    <row r="52" spans="1:26" ht="24" customHeight="1" x14ac:dyDescent="0.2">
      <c r="A52" s="192"/>
      <c r="B52" s="42" t="s">
        <v>126</v>
      </c>
      <c r="C52" s="115">
        <f>an!C$64</f>
        <v>0</v>
      </c>
      <c r="D52" s="115">
        <f>an!D$64</f>
        <v>0</v>
      </c>
      <c r="E52" s="115">
        <f>an!E$64</f>
        <v>0</v>
      </c>
      <c r="F52" s="115">
        <f>an!F$64</f>
        <v>0</v>
      </c>
      <c r="G52" s="115">
        <f>an!G$64</f>
        <v>0</v>
      </c>
      <c r="H52" s="115">
        <f>an!H$64</f>
        <v>0</v>
      </c>
      <c r="I52" s="115">
        <f>an!I$64</f>
        <v>0</v>
      </c>
      <c r="J52" s="115">
        <f>an!J$64</f>
        <v>0</v>
      </c>
      <c r="K52" s="115">
        <f>an!K$64</f>
        <v>0</v>
      </c>
      <c r="L52" s="115">
        <f>an!L$64</f>
        <v>0</v>
      </c>
      <c r="M52" s="115">
        <f>an!M$64</f>
        <v>0</v>
      </c>
      <c r="N52" s="115">
        <f>an!N$64</f>
        <v>0</v>
      </c>
      <c r="O52" s="115">
        <f>an!O$64</f>
        <v>0</v>
      </c>
      <c r="P52" s="115">
        <f>an!P$64</f>
        <v>0</v>
      </c>
      <c r="Q52" s="115">
        <f>an!Q$64</f>
        <v>0</v>
      </c>
      <c r="R52" s="115">
        <f>an!R$64</f>
        <v>0</v>
      </c>
      <c r="S52" s="115">
        <f>an!S$64</f>
        <v>0</v>
      </c>
      <c r="T52" s="115">
        <f>an!T$64</f>
        <v>0</v>
      </c>
      <c r="U52" s="115">
        <f>an!U$64</f>
        <v>0</v>
      </c>
      <c r="V52" s="115">
        <f>an!V$64</f>
        <v>0</v>
      </c>
      <c r="W52" s="115">
        <f>an!W$64</f>
        <v>0</v>
      </c>
      <c r="X52" s="115">
        <f>an!X$64</f>
        <v>0</v>
      </c>
      <c r="Y52" s="115">
        <f>an!Y$64</f>
        <v>0</v>
      </c>
      <c r="Z52" s="115">
        <f>an!Z$64</f>
        <v>0</v>
      </c>
    </row>
    <row r="53" spans="1:26" ht="24" customHeight="1" x14ac:dyDescent="0.2">
      <c r="A53" s="192"/>
      <c r="B53" s="42" t="s">
        <v>127</v>
      </c>
      <c r="C53" s="115">
        <f>an!C$65</f>
        <v>0</v>
      </c>
      <c r="D53" s="115">
        <f>an!D$65</f>
        <v>0</v>
      </c>
      <c r="E53" s="115">
        <f>an!E$65</f>
        <v>0</v>
      </c>
      <c r="F53" s="115">
        <f>an!F$65</f>
        <v>0</v>
      </c>
      <c r="G53" s="115">
        <f>an!G$65</f>
        <v>0</v>
      </c>
      <c r="H53" s="115">
        <f>an!H$65</f>
        <v>0</v>
      </c>
      <c r="I53" s="115">
        <f>an!I$65</f>
        <v>0</v>
      </c>
      <c r="J53" s="115">
        <f>an!J$65</f>
        <v>0</v>
      </c>
      <c r="K53" s="115">
        <f>an!K$65</f>
        <v>0</v>
      </c>
      <c r="L53" s="115">
        <f>an!L$65</f>
        <v>0</v>
      </c>
      <c r="M53" s="115">
        <f>an!M$65</f>
        <v>0</v>
      </c>
      <c r="N53" s="115">
        <f>an!N$65</f>
        <v>0</v>
      </c>
      <c r="O53" s="115">
        <f>an!O$65</f>
        <v>0</v>
      </c>
      <c r="P53" s="115">
        <f>an!P$65</f>
        <v>0</v>
      </c>
      <c r="Q53" s="115">
        <f>an!Q$65</f>
        <v>0</v>
      </c>
      <c r="R53" s="115">
        <f>an!R$65</f>
        <v>0</v>
      </c>
      <c r="S53" s="115">
        <f>an!S$65</f>
        <v>0</v>
      </c>
      <c r="T53" s="115">
        <f>an!T$65</f>
        <v>0</v>
      </c>
      <c r="U53" s="115">
        <f>an!U$65</f>
        <v>0</v>
      </c>
      <c r="V53" s="115">
        <f>an!V$65</f>
        <v>0</v>
      </c>
      <c r="W53" s="115">
        <f>an!W$65</f>
        <v>0</v>
      </c>
      <c r="X53" s="115">
        <f>an!X$65</f>
        <v>0</v>
      </c>
      <c r="Y53" s="115">
        <f>an!Y$65</f>
        <v>0</v>
      </c>
      <c r="Z53" s="115">
        <f>an!Z$65</f>
        <v>0</v>
      </c>
    </row>
    <row r="54" spans="1:26" ht="24" customHeight="1" x14ac:dyDescent="0.2">
      <c r="A54" s="192"/>
      <c r="B54" s="42" t="s">
        <v>135</v>
      </c>
      <c r="C54" s="115">
        <f>an!C$66</f>
        <v>0</v>
      </c>
      <c r="D54" s="115">
        <f>an!D$66</f>
        <v>0</v>
      </c>
      <c r="E54" s="115">
        <f>an!E$66</f>
        <v>0</v>
      </c>
      <c r="F54" s="115">
        <f>an!F$66</f>
        <v>0</v>
      </c>
      <c r="G54" s="115">
        <f>an!G$66</f>
        <v>0</v>
      </c>
      <c r="H54" s="115">
        <f>an!H$66</f>
        <v>0</v>
      </c>
      <c r="I54" s="115">
        <f>an!I$66</f>
        <v>0</v>
      </c>
      <c r="J54" s="115">
        <f>an!J$66</f>
        <v>0</v>
      </c>
      <c r="K54" s="115">
        <f>an!K$66</f>
        <v>0</v>
      </c>
      <c r="L54" s="115">
        <f>an!L$66</f>
        <v>0</v>
      </c>
      <c r="M54" s="115">
        <f>an!M$66</f>
        <v>0</v>
      </c>
      <c r="N54" s="115">
        <f>an!N$66</f>
        <v>0</v>
      </c>
      <c r="O54" s="115">
        <f>an!O$66</f>
        <v>0</v>
      </c>
      <c r="P54" s="115">
        <f>an!P$66</f>
        <v>0</v>
      </c>
      <c r="Q54" s="115">
        <f>an!Q$66</f>
        <v>0</v>
      </c>
      <c r="R54" s="115">
        <f>an!R$66</f>
        <v>0</v>
      </c>
      <c r="S54" s="115">
        <f>an!S$66</f>
        <v>0</v>
      </c>
      <c r="T54" s="115">
        <f>an!T$66</f>
        <v>0</v>
      </c>
      <c r="U54" s="115">
        <f>an!U$66</f>
        <v>0</v>
      </c>
      <c r="V54" s="115">
        <f>an!V$66</f>
        <v>0</v>
      </c>
      <c r="W54" s="115">
        <f>an!W$66</f>
        <v>0</v>
      </c>
      <c r="X54" s="115">
        <f>an!X$66</f>
        <v>0</v>
      </c>
      <c r="Y54" s="115">
        <f>an!Y$66</f>
        <v>0</v>
      </c>
      <c r="Z54" s="115">
        <f>an!Z$66</f>
        <v>0</v>
      </c>
    </row>
    <row r="55" spans="1:26" ht="24" customHeight="1" x14ac:dyDescent="0.2">
      <c r="A55" s="192"/>
      <c r="B55" s="42" t="s">
        <v>131</v>
      </c>
      <c r="C55" s="115">
        <f>an!C$67</f>
        <v>0</v>
      </c>
      <c r="D55" s="115">
        <f>an!D$67</f>
        <v>0</v>
      </c>
      <c r="E55" s="115">
        <f>an!E$67</f>
        <v>0</v>
      </c>
      <c r="F55" s="115">
        <f>an!F$67</f>
        <v>0</v>
      </c>
      <c r="G55" s="115">
        <f>an!G$67</f>
        <v>0</v>
      </c>
      <c r="H55" s="115">
        <f>an!H$67</f>
        <v>0</v>
      </c>
      <c r="I55" s="115">
        <f>an!I$67</f>
        <v>0</v>
      </c>
      <c r="J55" s="115">
        <f>an!J$67</f>
        <v>0</v>
      </c>
      <c r="K55" s="115">
        <f>an!K$67</f>
        <v>0</v>
      </c>
      <c r="L55" s="115">
        <f>an!L$67</f>
        <v>0</v>
      </c>
      <c r="M55" s="115">
        <f>an!M$67</f>
        <v>0</v>
      </c>
      <c r="N55" s="115">
        <f>an!N$67</f>
        <v>0</v>
      </c>
      <c r="O55" s="115">
        <f>an!O$67</f>
        <v>0</v>
      </c>
      <c r="P55" s="115">
        <f>an!P$67</f>
        <v>0</v>
      </c>
      <c r="Q55" s="115">
        <f>an!Q$67</f>
        <v>0</v>
      </c>
      <c r="R55" s="115">
        <f>an!R$67</f>
        <v>0</v>
      </c>
      <c r="S55" s="115">
        <f>an!S$67</f>
        <v>0</v>
      </c>
      <c r="T55" s="115">
        <f>an!T$67</f>
        <v>0</v>
      </c>
      <c r="U55" s="115">
        <f>an!U$67</f>
        <v>0</v>
      </c>
      <c r="V55" s="115">
        <f>an!V$67</f>
        <v>0</v>
      </c>
      <c r="W55" s="115">
        <f>an!W$67</f>
        <v>0</v>
      </c>
      <c r="X55" s="115">
        <f>an!X$67</f>
        <v>0</v>
      </c>
      <c r="Y55" s="115">
        <f>an!Y$67</f>
        <v>0</v>
      </c>
      <c r="Z55" s="115">
        <f>an!Z$67</f>
        <v>0</v>
      </c>
    </row>
    <row r="56" spans="1:26" ht="24" customHeight="1" x14ac:dyDescent="0.2">
      <c r="A56" s="192"/>
      <c r="B56" s="42" t="s">
        <v>132</v>
      </c>
      <c r="C56" s="115">
        <f>an!C$68</f>
        <v>0</v>
      </c>
      <c r="D56" s="115">
        <f>an!D$68</f>
        <v>0</v>
      </c>
      <c r="E56" s="115">
        <f>an!E$68</f>
        <v>0</v>
      </c>
      <c r="F56" s="115">
        <f>an!F$68</f>
        <v>0</v>
      </c>
      <c r="G56" s="115">
        <f>an!G$68</f>
        <v>0</v>
      </c>
      <c r="H56" s="115">
        <f>an!H$68</f>
        <v>0</v>
      </c>
      <c r="I56" s="115">
        <f>an!I$68</f>
        <v>0</v>
      </c>
      <c r="J56" s="115">
        <f>an!J$68</f>
        <v>0</v>
      </c>
      <c r="K56" s="115">
        <f>an!K$68</f>
        <v>0</v>
      </c>
      <c r="L56" s="115">
        <f>an!L$68</f>
        <v>0</v>
      </c>
      <c r="M56" s="115">
        <f>an!M$68</f>
        <v>0</v>
      </c>
      <c r="N56" s="115">
        <f>an!N$68</f>
        <v>0</v>
      </c>
      <c r="O56" s="115">
        <f>an!O$68</f>
        <v>0</v>
      </c>
      <c r="P56" s="115">
        <f>an!P$68</f>
        <v>0</v>
      </c>
      <c r="Q56" s="115">
        <f>an!Q$68</f>
        <v>0</v>
      </c>
      <c r="R56" s="115">
        <f>an!R$68</f>
        <v>0</v>
      </c>
      <c r="S56" s="115">
        <f>an!S$68</f>
        <v>0</v>
      </c>
      <c r="T56" s="115">
        <f>an!T$68</f>
        <v>0</v>
      </c>
      <c r="U56" s="115">
        <f>an!U$68</f>
        <v>0</v>
      </c>
      <c r="V56" s="115">
        <f>an!V$68</f>
        <v>0</v>
      </c>
      <c r="W56" s="115">
        <f>an!W$68</f>
        <v>0</v>
      </c>
      <c r="X56" s="115">
        <f>an!X$68</f>
        <v>0</v>
      </c>
      <c r="Y56" s="115">
        <f>an!Y$68</f>
        <v>0</v>
      </c>
      <c r="Z56" s="115">
        <f>an!Z$68</f>
        <v>0</v>
      </c>
    </row>
    <row r="57" spans="1:26" ht="24" customHeight="1" x14ac:dyDescent="0.2">
      <c r="A57" s="192"/>
      <c r="B57" s="42" t="s">
        <v>136</v>
      </c>
      <c r="C57" s="115">
        <f>an!C$69</f>
        <v>0</v>
      </c>
      <c r="D57" s="115">
        <f>an!D$69</f>
        <v>0</v>
      </c>
      <c r="E57" s="115">
        <f>an!E$69</f>
        <v>0</v>
      </c>
      <c r="F57" s="115">
        <f>an!F$69</f>
        <v>0</v>
      </c>
      <c r="G57" s="115">
        <f>an!G$69</f>
        <v>0</v>
      </c>
      <c r="H57" s="115">
        <f>an!H$69</f>
        <v>0</v>
      </c>
      <c r="I57" s="115">
        <f>an!I$69</f>
        <v>0</v>
      </c>
      <c r="J57" s="115">
        <f>an!J$69</f>
        <v>0</v>
      </c>
      <c r="K57" s="115">
        <f>an!K$69</f>
        <v>0</v>
      </c>
      <c r="L57" s="115">
        <f>an!L$69</f>
        <v>0</v>
      </c>
      <c r="M57" s="115">
        <f>an!M$69</f>
        <v>0</v>
      </c>
      <c r="N57" s="115">
        <f>an!N$69</f>
        <v>0</v>
      </c>
      <c r="O57" s="115">
        <f>an!O$69</f>
        <v>0</v>
      </c>
      <c r="P57" s="115">
        <f>an!P$69</f>
        <v>0</v>
      </c>
      <c r="Q57" s="115">
        <f>an!Q$69</f>
        <v>0</v>
      </c>
      <c r="R57" s="115">
        <f>an!R$69</f>
        <v>0</v>
      </c>
      <c r="S57" s="115">
        <f>an!S$69</f>
        <v>0</v>
      </c>
      <c r="T57" s="115">
        <f>an!T$69</f>
        <v>0</v>
      </c>
      <c r="U57" s="115">
        <f>an!U$69</f>
        <v>0</v>
      </c>
      <c r="V57" s="115">
        <f>an!V$69</f>
        <v>0</v>
      </c>
      <c r="W57" s="115">
        <f>an!W$69</f>
        <v>0</v>
      </c>
      <c r="X57" s="115">
        <f>an!X$69</f>
        <v>0</v>
      </c>
      <c r="Y57" s="115">
        <f>an!Y$69</f>
        <v>0</v>
      </c>
      <c r="Z57" s="115">
        <f>an!Z$69</f>
        <v>0</v>
      </c>
    </row>
    <row r="58" spans="1:26" ht="24" customHeight="1" x14ac:dyDescent="0.2">
      <c r="A58" s="192"/>
      <c r="B58" s="42" t="s">
        <v>133</v>
      </c>
      <c r="C58" s="115">
        <f>an!C$70</f>
        <v>0</v>
      </c>
      <c r="D58" s="115">
        <f>an!D$70</f>
        <v>0</v>
      </c>
      <c r="E58" s="115">
        <f>an!E$70</f>
        <v>0</v>
      </c>
      <c r="F58" s="115">
        <f>an!F$70</f>
        <v>0</v>
      </c>
      <c r="G58" s="115">
        <f>an!G$70</f>
        <v>0</v>
      </c>
      <c r="H58" s="115">
        <f>an!H$70</f>
        <v>0</v>
      </c>
      <c r="I58" s="115">
        <f>an!I$70</f>
        <v>0</v>
      </c>
      <c r="J58" s="115">
        <f>an!J$70</f>
        <v>0</v>
      </c>
      <c r="K58" s="115">
        <f>an!K$70</f>
        <v>0</v>
      </c>
      <c r="L58" s="115">
        <f>an!L$70</f>
        <v>0</v>
      </c>
      <c r="M58" s="115">
        <f>an!M$70</f>
        <v>0</v>
      </c>
      <c r="N58" s="115">
        <f>an!N$70</f>
        <v>0</v>
      </c>
      <c r="O58" s="115">
        <f>an!O$70</f>
        <v>0</v>
      </c>
      <c r="P58" s="115">
        <f>an!P$70</f>
        <v>0</v>
      </c>
      <c r="Q58" s="115">
        <f>an!Q$70</f>
        <v>0</v>
      </c>
      <c r="R58" s="115">
        <f>an!R$70</f>
        <v>0</v>
      </c>
      <c r="S58" s="115">
        <f>an!S$70</f>
        <v>0</v>
      </c>
      <c r="T58" s="115">
        <f>an!T$70</f>
        <v>0</v>
      </c>
      <c r="U58" s="115">
        <f>an!U$70</f>
        <v>0</v>
      </c>
      <c r="V58" s="115">
        <f>an!V$70</f>
        <v>0</v>
      </c>
      <c r="W58" s="115">
        <f>an!W$70</f>
        <v>0</v>
      </c>
      <c r="X58" s="115">
        <f>an!X$70</f>
        <v>0</v>
      </c>
      <c r="Y58" s="115">
        <f>an!Y$70</f>
        <v>0</v>
      </c>
      <c r="Z58" s="115">
        <f>an!Z$70</f>
        <v>0</v>
      </c>
    </row>
    <row r="59" spans="1:26" ht="24" customHeight="1" x14ac:dyDescent="0.2">
      <c r="A59" s="192"/>
      <c r="B59" s="42" t="s">
        <v>134</v>
      </c>
      <c r="C59" s="115">
        <f>an!C$71</f>
        <v>0</v>
      </c>
      <c r="D59" s="115">
        <f>an!D$71</f>
        <v>0</v>
      </c>
      <c r="E59" s="115">
        <f>an!E$71</f>
        <v>0</v>
      </c>
      <c r="F59" s="115">
        <f>an!F$71</f>
        <v>0</v>
      </c>
      <c r="G59" s="115">
        <f>an!G$71</f>
        <v>0</v>
      </c>
      <c r="H59" s="115">
        <f>an!H$71</f>
        <v>0</v>
      </c>
      <c r="I59" s="115">
        <f>an!I$71</f>
        <v>0</v>
      </c>
      <c r="J59" s="115">
        <f>an!J$71</f>
        <v>0</v>
      </c>
      <c r="K59" s="115">
        <f>an!K$71</f>
        <v>0</v>
      </c>
      <c r="L59" s="115">
        <f>an!L$71</f>
        <v>0</v>
      </c>
      <c r="M59" s="115">
        <f>an!M$71</f>
        <v>0</v>
      </c>
      <c r="N59" s="115">
        <f>an!N$71</f>
        <v>0</v>
      </c>
      <c r="O59" s="115">
        <f>an!O$71</f>
        <v>0</v>
      </c>
      <c r="P59" s="115">
        <f>an!P$71</f>
        <v>0</v>
      </c>
      <c r="Q59" s="115">
        <f>an!Q$71</f>
        <v>0</v>
      </c>
      <c r="R59" s="115">
        <f>an!R$71</f>
        <v>0</v>
      </c>
      <c r="S59" s="115">
        <f>an!S$71</f>
        <v>0</v>
      </c>
      <c r="T59" s="115">
        <f>an!T$71</f>
        <v>0</v>
      </c>
      <c r="U59" s="115">
        <f>an!U$71</f>
        <v>0</v>
      </c>
      <c r="V59" s="115">
        <f>an!V$71</f>
        <v>0</v>
      </c>
      <c r="W59" s="115">
        <f>an!W$71</f>
        <v>0</v>
      </c>
      <c r="X59" s="115">
        <f>an!X$71</f>
        <v>0</v>
      </c>
      <c r="Y59" s="115">
        <f>an!Y$71</f>
        <v>0</v>
      </c>
      <c r="Z59" s="115">
        <f>an!Z$71</f>
        <v>0</v>
      </c>
    </row>
    <row r="60" spans="1:26" s="51" customFormat="1" ht="12.75" customHeight="1" x14ac:dyDescent="0.2">
      <c r="A60" s="54"/>
      <c r="B60" s="55"/>
      <c r="C60" s="60"/>
      <c r="D60" s="60"/>
      <c r="E60" s="60"/>
      <c r="F60" s="60"/>
      <c r="G60" s="60"/>
      <c r="H60" s="60"/>
      <c r="I60" s="60"/>
      <c r="J60" s="60"/>
      <c r="K60" s="60"/>
      <c r="L60" s="60"/>
      <c r="M60" s="60"/>
      <c r="N60" s="60"/>
      <c r="O60" s="60"/>
      <c r="P60" s="60"/>
      <c r="Q60" s="60"/>
      <c r="R60" s="60"/>
      <c r="S60" s="60"/>
      <c r="T60" s="60"/>
      <c r="U60" s="60"/>
      <c r="V60" s="60"/>
      <c r="W60" s="60"/>
      <c r="X60" s="60"/>
      <c r="Y60" s="60"/>
      <c r="Z60" s="60"/>
    </row>
    <row r="61" spans="1:26" s="45" customFormat="1" ht="39" customHeight="1" x14ac:dyDescent="0.2">
      <c r="A61" s="190" t="s">
        <v>185</v>
      </c>
      <c r="B61" s="191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</row>
    <row r="62" spans="1:26" ht="24" customHeight="1" x14ac:dyDescent="0.2">
      <c r="A62" s="192" t="s">
        <v>181</v>
      </c>
      <c r="B62" s="42" t="s">
        <v>48</v>
      </c>
      <c r="C62" s="118">
        <f>C$34*C$19/100</f>
        <v>0</v>
      </c>
      <c r="D62" s="118">
        <f t="shared" ref="D62:Z62" si="1">D$34*D$19/100</f>
        <v>0</v>
      </c>
      <c r="E62" s="118">
        <f t="shared" si="1"/>
        <v>0</v>
      </c>
      <c r="F62" s="118">
        <f t="shared" si="1"/>
        <v>0</v>
      </c>
      <c r="G62" s="118">
        <f t="shared" si="1"/>
        <v>0</v>
      </c>
      <c r="H62" s="118">
        <f t="shared" si="1"/>
        <v>0</v>
      </c>
      <c r="I62" s="118">
        <f t="shared" si="1"/>
        <v>0</v>
      </c>
      <c r="J62" s="118">
        <f t="shared" si="1"/>
        <v>0</v>
      </c>
      <c r="K62" s="118">
        <f t="shared" si="1"/>
        <v>0</v>
      </c>
      <c r="L62" s="118">
        <f t="shared" si="1"/>
        <v>0</v>
      </c>
      <c r="M62" s="118">
        <f t="shared" si="1"/>
        <v>0</v>
      </c>
      <c r="N62" s="118">
        <f t="shared" si="1"/>
        <v>0</v>
      </c>
      <c r="O62" s="118">
        <f t="shared" si="1"/>
        <v>0</v>
      </c>
      <c r="P62" s="118">
        <f t="shared" si="1"/>
        <v>0</v>
      </c>
      <c r="Q62" s="118">
        <f t="shared" si="1"/>
        <v>0</v>
      </c>
      <c r="R62" s="118">
        <f t="shared" si="1"/>
        <v>0</v>
      </c>
      <c r="S62" s="118">
        <f t="shared" si="1"/>
        <v>0</v>
      </c>
      <c r="T62" s="118">
        <f t="shared" si="1"/>
        <v>0</v>
      </c>
      <c r="U62" s="118">
        <f t="shared" si="1"/>
        <v>0</v>
      </c>
      <c r="V62" s="118">
        <f t="shared" si="1"/>
        <v>0</v>
      </c>
      <c r="W62" s="118">
        <f t="shared" si="1"/>
        <v>0</v>
      </c>
      <c r="X62" s="118">
        <f t="shared" si="1"/>
        <v>0</v>
      </c>
      <c r="Y62" s="118">
        <f t="shared" si="1"/>
        <v>0</v>
      </c>
      <c r="Z62" s="118">
        <f t="shared" si="1"/>
        <v>0</v>
      </c>
    </row>
    <row r="63" spans="1:26" ht="24" customHeight="1" x14ac:dyDescent="0.2">
      <c r="A63" s="192"/>
      <c r="B63" s="42" t="s">
        <v>138</v>
      </c>
      <c r="C63" s="118">
        <f>C$35*C$19/100</f>
        <v>0</v>
      </c>
      <c r="D63" s="118">
        <f t="shared" ref="D63:Z63" si="2">D$35*D$19/100</f>
        <v>0</v>
      </c>
      <c r="E63" s="118">
        <f t="shared" si="2"/>
        <v>0</v>
      </c>
      <c r="F63" s="118">
        <f t="shared" si="2"/>
        <v>0</v>
      </c>
      <c r="G63" s="118">
        <f t="shared" si="2"/>
        <v>0</v>
      </c>
      <c r="H63" s="118">
        <f t="shared" si="2"/>
        <v>0</v>
      </c>
      <c r="I63" s="118">
        <f t="shared" si="2"/>
        <v>0</v>
      </c>
      <c r="J63" s="118">
        <f t="shared" si="2"/>
        <v>0</v>
      </c>
      <c r="K63" s="118">
        <f t="shared" si="2"/>
        <v>0</v>
      </c>
      <c r="L63" s="118">
        <f t="shared" si="2"/>
        <v>0</v>
      </c>
      <c r="M63" s="118">
        <f t="shared" si="2"/>
        <v>0</v>
      </c>
      <c r="N63" s="118">
        <f t="shared" si="2"/>
        <v>0</v>
      </c>
      <c r="O63" s="118">
        <f t="shared" si="2"/>
        <v>0</v>
      </c>
      <c r="P63" s="118">
        <f t="shared" si="2"/>
        <v>0</v>
      </c>
      <c r="Q63" s="118">
        <f t="shared" si="2"/>
        <v>0</v>
      </c>
      <c r="R63" s="118">
        <f t="shared" si="2"/>
        <v>0</v>
      </c>
      <c r="S63" s="118">
        <f t="shared" si="2"/>
        <v>0</v>
      </c>
      <c r="T63" s="118">
        <f t="shared" si="2"/>
        <v>0</v>
      </c>
      <c r="U63" s="118">
        <f t="shared" si="2"/>
        <v>0</v>
      </c>
      <c r="V63" s="118">
        <f t="shared" si="2"/>
        <v>0</v>
      </c>
      <c r="W63" s="118">
        <f t="shared" si="2"/>
        <v>0</v>
      </c>
      <c r="X63" s="118">
        <f t="shared" si="2"/>
        <v>0</v>
      </c>
      <c r="Y63" s="118">
        <f t="shared" si="2"/>
        <v>0</v>
      </c>
      <c r="Z63" s="118">
        <f t="shared" si="2"/>
        <v>0</v>
      </c>
    </row>
    <row r="64" spans="1:26" ht="24" customHeight="1" x14ac:dyDescent="0.2">
      <c r="A64" s="192"/>
      <c r="B64" s="46" t="s">
        <v>49</v>
      </c>
      <c r="C64" s="118">
        <f>C$36*C$19/100</f>
        <v>0</v>
      </c>
      <c r="D64" s="118">
        <f t="shared" ref="D64:Z64" si="3">D$36*D$19/100</f>
        <v>0</v>
      </c>
      <c r="E64" s="118">
        <f t="shared" si="3"/>
        <v>0</v>
      </c>
      <c r="F64" s="118">
        <f t="shared" si="3"/>
        <v>0</v>
      </c>
      <c r="G64" s="118">
        <f t="shared" si="3"/>
        <v>0</v>
      </c>
      <c r="H64" s="118">
        <f t="shared" si="3"/>
        <v>0</v>
      </c>
      <c r="I64" s="118">
        <f t="shared" si="3"/>
        <v>0</v>
      </c>
      <c r="J64" s="118">
        <f t="shared" si="3"/>
        <v>0</v>
      </c>
      <c r="K64" s="118">
        <f t="shared" si="3"/>
        <v>0</v>
      </c>
      <c r="L64" s="118">
        <f t="shared" si="3"/>
        <v>0</v>
      </c>
      <c r="M64" s="118">
        <f t="shared" si="3"/>
        <v>0</v>
      </c>
      <c r="N64" s="118">
        <f t="shared" si="3"/>
        <v>0</v>
      </c>
      <c r="O64" s="118">
        <f t="shared" si="3"/>
        <v>0</v>
      </c>
      <c r="P64" s="118">
        <f t="shared" si="3"/>
        <v>0</v>
      </c>
      <c r="Q64" s="118">
        <f t="shared" si="3"/>
        <v>0</v>
      </c>
      <c r="R64" s="118">
        <f t="shared" si="3"/>
        <v>0</v>
      </c>
      <c r="S64" s="118">
        <f t="shared" si="3"/>
        <v>0</v>
      </c>
      <c r="T64" s="118">
        <f t="shared" si="3"/>
        <v>0</v>
      </c>
      <c r="U64" s="118">
        <f t="shared" si="3"/>
        <v>0</v>
      </c>
      <c r="V64" s="118">
        <f t="shared" si="3"/>
        <v>0</v>
      </c>
      <c r="W64" s="118">
        <f t="shared" si="3"/>
        <v>0</v>
      </c>
      <c r="X64" s="118">
        <f t="shared" si="3"/>
        <v>0</v>
      </c>
      <c r="Y64" s="118">
        <f t="shared" si="3"/>
        <v>0</v>
      </c>
      <c r="Z64" s="118">
        <f t="shared" si="3"/>
        <v>0</v>
      </c>
    </row>
    <row r="65" spans="1:26" ht="24" customHeight="1" x14ac:dyDescent="0.2">
      <c r="A65" s="192"/>
      <c r="B65" s="42" t="s">
        <v>51</v>
      </c>
      <c r="C65" s="118">
        <f>C$37*C$19/100</f>
        <v>0</v>
      </c>
      <c r="D65" s="118">
        <f t="shared" ref="D65:Z65" si="4">D$37*D$19/100</f>
        <v>0</v>
      </c>
      <c r="E65" s="118">
        <f t="shared" si="4"/>
        <v>0</v>
      </c>
      <c r="F65" s="118">
        <f t="shared" si="4"/>
        <v>0</v>
      </c>
      <c r="G65" s="118">
        <f t="shared" si="4"/>
        <v>0</v>
      </c>
      <c r="H65" s="118">
        <f t="shared" si="4"/>
        <v>0</v>
      </c>
      <c r="I65" s="118">
        <f t="shared" si="4"/>
        <v>0</v>
      </c>
      <c r="J65" s="118">
        <f t="shared" si="4"/>
        <v>0</v>
      </c>
      <c r="K65" s="118">
        <f t="shared" si="4"/>
        <v>0</v>
      </c>
      <c r="L65" s="118">
        <f t="shared" si="4"/>
        <v>0</v>
      </c>
      <c r="M65" s="118">
        <f t="shared" si="4"/>
        <v>0</v>
      </c>
      <c r="N65" s="118">
        <f t="shared" si="4"/>
        <v>0</v>
      </c>
      <c r="O65" s="118">
        <f t="shared" si="4"/>
        <v>0</v>
      </c>
      <c r="P65" s="118">
        <f t="shared" si="4"/>
        <v>0</v>
      </c>
      <c r="Q65" s="118">
        <f t="shared" si="4"/>
        <v>0</v>
      </c>
      <c r="R65" s="118">
        <f t="shared" si="4"/>
        <v>0</v>
      </c>
      <c r="S65" s="118">
        <f t="shared" si="4"/>
        <v>0</v>
      </c>
      <c r="T65" s="118">
        <f t="shared" si="4"/>
        <v>0</v>
      </c>
      <c r="U65" s="118">
        <f t="shared" si="4"/>
        <v>0</v>
      </c>
      <c r="V65" s="118">
        <f t="shared" si="4"/>
        <v>0</v>
      </c>
      <c r="W65" s="118">
        <f t="shared" si="4"/>
        <v>0</v>
      </c>
      <c r="X65" s="118">
        <f t="shared" si="4"/>
        <v>0</v>
      </c>
      <c r="Y65" s="118">
        <f t="shared" si="4"/>
        <v>0</v>
      </c>
      <c r="Z65" s="118">
        <f t="shared" si="4"/>
        <v>0</v>
      </c>
    </row>
    <row r="66" spans="1:26" ht="24" customHeight="1" x14ac:dyDescent="0.2">
      <c r="A66" s="192"/>
      <c r="B66" s="47" t="s">
        <v>141</v>
      </c>
      <c r="C66" s="118">
        <f>C$38*C$19/100</f>
        <v>0</v>
      </c>
      <c r="D66" s="118">
        <f t="shared" ref="D66:Z66" si="5">D$38*D$19/100</f>
        <v>0</v>
      </c>
      <c r="E66" s="118">
        <f t="shared" si="5"/>
        <v>0</v>
      </c>
      <c r="F66" s="118">
        <f t="shared" si="5"/>
        <v>0</v>
      </c>
      <c r="G66" s="118">
        <f t="shared" si="5"/>
        <v>0</v>
      </c>
      <c r="H66" s="118">
        <f t="shared" si="5"/>
        <v>0</v>
      </c>
      <c r="I66" s="118">
        <f t="shared" si="5"/>
        <v>0</v>
      </c>
      <c r="J66" s="118">
        <f t="shared" si="5"/>
        <v>0</v>
      </c>
      <c r="K66" s="118">
        <f t="shared" si="5"/>
        <v>0</v>
      </c>
      <c r="L66" s="118">
        <f t="shared" si="5"/>
        <v>0</v>
      </c>
      <c r="M66" s="118">
        <f t="shared" si="5"/>
        <v>0</v>
      </c>
      <c r="N66" s="118">
        <f t="shared" si="5"/>
        <v>0</v>
      </c>
      <c r="O66" s="118">
        <f t="shared" si="5"/>
        <v>0</v>
      </c>
      <c r="P66" s="118">
        <f t="shared" si="5"/>
        <v>0</v>
      </c>
      <c r="Q66" s="118">
        <f t="shared" si="5"/>
        <v>0</v>
      </c>
      <c r="R66" s="118">
        <f t="shared" si="5"/>
        <v>0</v>
      </c>
      <c r="S66" s="118">
        <f t="shared" si="5"/>
        <v>0</v>
      </c>
      <c r="T66" s="118">
        <f t="shared" si="5"/>
        <v>0</v>
      </c>
      <c r="U66" s="118">
        <f t="shared" si="5"/>
        <v>0</v>
      </c>
      <c r="V66" s="118">
        <f t="shared" si="5"/>
        <v>0</v>
      </c>
      <c r="W66" s="118">
        <f t="shared" si="5"/>
        <v>0</v>
      </c>
      <c r="X66" s="118">
        <f t="shared" si="5"/>
        <v>0</v>
      </c>
      <c r="Y66" s="118">
        <f t="shared" si="5"/>
        <v>0</v>
      </c>
      <c r="Z66" s="118">
        <f t="shared" si="5"/>
        <v>0</v>
      </c>
    </row>
    <row r="67" spans="1:26" ht="24" customHeight="1" x14ac:dyDescent="0.2">
      <c r="A67" s="192"/>
      <c r="B67" s="42" t="s">
        <v>50</v>
      </c>
      <c r="C67" s="118">
        <f>C$39*C$19/100</f>
        <v>0</v>
      </c>
      <c r="D67" s="118">
        <f t="shared" ref="D67:Z67" si="6">D$39*D$19/100</f>
        <v>0</v>
      </c>
      <c r="E67" s="118">
        <f t="shared" si="6"/>
        <v>0</v>
      </c>
      <c r="F67" s="118">
        <f t="shared" si="6"/>
        <v>0</v>
      </c>
      <c r="G67" s="118">
        <f t="shared" si="6"/>
        <v>0</v>
      </c>
      <c r="H67" s="118">
        <f t="shared" si="6"/>
        <v>0</v>
      </c>
      <c r="I67" s="118">
        <f t="shared" si="6"/>
        <v>0</v>
      </c>
      <c r="J67" s="118">
        <f t="shared" si="6"/>
        <v>0</v>
      </c>
      <c r="K67" s="118">
        <f t="shared" si="6"/>
        <v>0</v>
      </c>
      <c r="L67" s="118">
        <f t="shared" si="6"/>
        <v>0</v>
      </c>
      <c r="M67" s="118">
        <f t="shared" si="6"/>
        <v>0</v>
      </c>
      <c r="N67" s="118">
        <f t="shared" si="6"/>
        <v>0</v>
      </c>
      <c r="O67" s="118">
        <f t="shared" si="6"/>
        <v>0</v>
      </c>
      <c r="P67" s="118">
        <f t="shared" si="6"/>
        <v>0</v>
      </c>
      <c r="Q67" s="118">
        <f t="shared" si="6"/>
        <v>0</v>
      </c>
      <c r="R67" s="118">
        <f t="shared" si="6"/>
        <v>0</v>
      </c>
      <c r="S67" s="118">
        <f t="shared" si="6"/>
        <v>0</v>
      </c>
      <c r="T67" s="118">
        <f t="shared" si="6"/>
        <v>0</v>
      </c>
      <c r="U67" s="118">
        <f t="shared" si="6"/>
        <v>0</v>
      </c>
      <c r="V67" s="118">
        <f t="shared" si="6"/>
        <v>0</v>
      </c>
      <c r="W67" s="118">
        <f t="shared" si="6"/>
        <v>0</v>
      </c>
      <c r="X67" s="118">
        <f t="shared" si="6"/>
        <v>0</v>
      </c>
      <c r="Y67" s="118">
        <f t="shared" si="6"/>
        <v>0</v>
      </c>
      <c r="Z67" s="118">
        <f t="shared" si="6"/>
        <v>0</v>
      </c>
    </row>
    <row r="68" spans="1:26" ht="24" customHeight="1" x14ac:dyDescent="0.2">
      <c r="A68" s="192"/>
      <c r="B68" s="42" t="s">
        <v>53</v>
      </c>
      <c r="C68" s="118">
        <f>C$40*C$19/100</f>
        <v>0</v>
      </c>
      <c r="D68" s="118">
        <f t="shared" ref="D68:Z68" si="7">D$40*D$19/100</f>
        <v>0</v>
      </c>
      <c r="E68" s="118">
        <f t="shared" si="7"/>
        <v>0</v>
      </c>
      <c r="F68" s="118">
        <f t="shared" si="7"/>
        <v>0</v>
      </c>
      <c r="G68" s="118">
        <f t="shared" si="7"/>
        <v>0</v>
      </c>
      <c r="H68" s="118">
        <f t="shared" si="7"/>
        <v>0</v>
      </c>
      <c r="I68" s="118">
        <f t="shared" si="7"/>
        <v>0</v>
      </c>
      <c r="J68" s="118">
        <f t="shared" si="7"/>
        <v>0</v>
      </c>
      <c r="K68" s="118">
        <f t="shared" si="7"/>
        <v>0</v>
      </c>
      <c r="L68" s="118">
        <f t="shared" si="7"/>
        <v>0</v>
      </c>
      <c r="M68" s="118">
        <f t="shared" si="7"/>
        <v>0</v>
      </c>
      <c r="N68" s="118">
        <f t="shared" si="7"/>
        <v>0</v>
      </c>
      <c r="O68" s="118">
        <f t="shared" si="7"/>
        <v>0</v>
      </c>
      <c r="P68" s="118">
        <f t="shared" si="7"/>
        <v>0</v>
      </c>
      <c r="Q68" s="118">
        <f t="shared" si="7"/>
        <v>0</v>
      </c>
      <c r="R68" s="118">
        <f t="shared" si="7"/>
        <v>0</v>
      </c>
      <c r="S68" s="118">
        <f t="shared" si="7"/>
        <v>0</v>
      </c>
      <c r="T68" s="118">
        <f t="shared" si="7"/>
        <v>0</v>
      </c>
      <c r="U68" s="118">
        <f t="shared" si="7"/>
        <v>0</v>
      </c>
      <c r="V68" s="118">
        <f t="shared" si="7"/>
        <v>0</v>
      </c>
      <c r="W68" s="118">
        <f t="shared" si="7"/>
        <v>0</v>
      </c>
      <c r="X68" s="118">
        <f t="shared" si="7"/>
        <v>0</v>
      </c>
      <c r="Y68" s="118">
        <f t="shared" si="7"/>
        <v>0</v>
      </c>
      <c r="Z68" s="118">
        <f t="shared" si="7"/>
        <v>0</v>
      </c>
    </row>
    <row r="69" spans="1:26" ht="24" customHeight="1" x14ac:dyDescent="0.2">
      <c r="A69" s="192"/>
      <c r="B69" s="47" t="s">
        <v>52</v>
      </c>
      <c r="C69" s="118">
        <f>C$41*C$19/100</f>
        <v>0</v>
      </c>
      <c r="D69" s="118">
        <f t="shared" ref="D69:Z69" si="8">D$41*D$19/100</f>
        <v>0</v>
      </c>
      <c r="E69" s="118">
        <f t="shared" si="8"/>
        <v>0</v>
      </c>
      <c r="F69" s="118">
        <f t="shared" si="8"/>
        <v>0</v>
      </c>
      <c r="G69" s="118">
        <f t="shared" si="8"/>
        <v>0</v>
      </c>
      <c r="H69" s="118">
        <f t="shared" si="8"/>
        <v>0</v>
      </c>
      <c r="I69" s="118">
        <f t="shared" si="8"/>
        <v>0</v>
      </c>
      <c r="J69" s="118">
        <f t="shared" si="8"/>
        <v>0</v>
      </c>
      <c r="K69" s="118">
        <f t="shared" si="8"/>
        <v>0</v>
      </c>
      <c r="L69" s="118">
        <f t="shared" si="8"/>
        <v>0</v>
      </c>
      <c r="M69" s="118">
        <f t="shared" si="8"/>
        <v>0</v>
      </c>
      <c r="N69" s="118">
        <f t="shared" si="8"/>
        <v>0</v>
      </c>
      <c r="O69" s="118">
        <f t="shared" si="8"/>
        <v>0</v>
      </c>
      <c r="P69" s="118">
        <f t="shared" si="8"/>
        <v>0</v>
      </c>
      <c r="Q69" s="118">
        <f t="shared" si="8"/>
        <v>0</v>
      </c>
      <c r="R69" s="118">
        <f t="shared" si="8"/>
        <v>0</v>
      </c>
      <c r="S69" s="118">
        <f t="shared" si="8"/>
        <v>0</v>
      </c>
      <c r="T69" s="118">
        <f t="shared" si="8"/>
        <v>0</v>
      </c>
      <c r="U69" s="118">
        <f t="shared" si="8"/>
        <v>0</v>
      </c>
      <c r="V69" s="118">
        <f t="shared" si="8"/>
        <v>0</v>
      </c>
      <c r="W69" s="118">
        <f t="shared" si="8"/>
        <v>0</v>
      </c>
      <c r="X69" s="118">
        <f t="shared" si="8"/>
        <v>0</v>
      </c>
      <c r="Y69" s="118">
        <f t="shared" si="8"/>
        <v>0</v>
      </c>
      <c r="Z69" s="118">
        <f t="shared" si="8"/>
        <v>0</v>
      </c>
    </row>
    <row r="70" spans="1:26" ht="24" customHeight="1" x14ac:dyDescent="0.2">
      <c r="A70" s="192"/>
      <c r="B70" s="46" t="s">
        <v>54</v>
      </c>
      <c r="C70" s="118">
        <f>C$42*C$19/100</f>
        <v>0</v>
      </c>
      <c r="D70" s="118">
        <f t="shared" ref="D70:Z70" si="9">D$42*D$19/100</f>
        <v>0</v>
      </c>
      <c r="E70" s="118">
        <f t="shared" si="9"/>
        <v>0</v>
      </c>
      <c r="F70" s="118">
        <f t="shared" si="9"/>
        <v>0</v>
      </c>
      <c r="G70" s="118">
        <f t="shared" si="9"/>
        <v>0</v>
      </c>
      <c r="H70" s="118">
        <f t="shared" si="9"/>
        <v>0</v>
      </c>
      <c r="I70" s="118">
        <f t="shared" si="9"/>
        <v>0</v>
      </c>
      <c r="J70" s="118">
        <f t="shared" si="9"/>
        <v>0</v>
      </c>
      <c r="K70" s="118">
        <f t="shared" si="9"/>
        <v>0</v>
      </c>
      <c r="L70" s="118">
        <f t="shared" si="9"/>
        <v>0</v>
      </c>
      <c r="M70" s="118">
        <f t="shared" si="9"/>
        <v>0</v>
      </c>
      <c r="N70" s="118">
        <f t="shared" si="9"/>
        <v>0</v>
      </c>
      <c r="O70" s="118">
        <f t="shared" si="9"/>
        <v>0</v>
      </c>
      <c r="P70" s="118">
        <f t="shared" si="9"/>
        <v>0</v>
      </c>
      <c r="Q70" s="118">
        <f t="shared" si="9"/>
        <v>0</v>
      </c>
      <c r="R70" s="118">
        <f t="shared" si="9"/>
        <v>0</v>
      </c>
      <c r="S70" s="118">
        <f t="shared" si="9"/>
        <v>0</v>
      </c>
      <c r="T70" s="118">
        <f t="shared" si="9"/>
        <v>0</v>
      </c>
      <c r="U70" s="118">
        <f t="shared" si="9"/>
        <v>0</v>
      </c>
      <c r="V70" s="118">
        <f t="shared" si="9"/>
        <v>0</v>
      </c>
      <c r="W70" s="118">
        <f t="shared" si="9"/>
        <v>0</v>
      </c>
      <c r="X70" s="118">
        <f t="shared" si="9"/>
        <v>0</v>
      </c>
      <c r="Y70" s="118">
        <f t="shared" si="9"/>
        <v>0</v>
      </c>
      <c r="Z70" s="118">
        <f t="shared" si="9"/>
        <v>0</v>
      </c>
    </row>
    <row r="71" spans="1:26" s="45" customFormat="1" ht="39" customHeight="1" x14ac:dyDescent="0.2">
      <c r="A71" s="190" t="s">
        <v>186</v>
      </c>
      <c r="B71" s="191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4"/>
      <c r="X71" s="44"/>
      <c r="Y71" s="44"/>
      <c r="Z71" s="44"/>
    </row>
    <row r="72" spans="1:26" ht="24" customHeight="1" x14ac:dyDescent="0.2">
      <c r="A72" s="192" t="s">
        <v>181</v>
      </c>
      <c r="B72" s="42" t="s">
        <v>122</v>
      </c>
      <c r="C72" s="115">
        <f>C$44*C$19</f>
        <v>0</v>
      </c>
      <c r="D72" s="115">
        <f t="shared" ref="D72:Z72" si="10">D$44*D$19</f>
        <v>0</v>
      </c>
      <c r="E72" s="115">
        <f t="shared" si="10"/>
        <v>0</v>
      </c>
      <c r="F72" s="115">
        <f t="shared" si="10"/>
        <v>0</v>
      </c>
      <c r="G72" s="115">
        <f t="shared" si="10"/>
        <v>0</v>
      </c>
      <c r="H72" s="115">
        <f t="shared" si="10"/>
        <v>0</v>
      </c>
      <c r="I72" s="115">
        <f t="shared" si="10"/>
        <v>0</v>
      </c>
      <c r="J72" s="115">
        <f t="shared" si="10"/>
        <v>0</v>
      </c>
      <c r="K72" s="115">
        <f t="shared" si="10"/>
        <v>0</v>
      </c>
      <c r="L72" s="115">
        <f t="shared" si="10"/>
        <v>0</v>
      </c>
      <c r="M72" s="115">
        <f t="shared" si="10"/>
        <v>0</v>
      </c>
      <c r="N72" s="115">
        <f t="shared" si="10"/>
        <v>0</v>
      </c>
      <c r="O72" s="115">
        <f t="shared" si="10"/>
        <v>0</v>
      </c>
      <c r="P72" s="115">
        <f t="shared" si="10"/>
        <v>0</v>
      </c>
      <c r="Q72" s="115">
        <f t="shared" si="10"/>
        <v>0</v>
      </c>
      <c r="R72" s="115">
        <f t="shared" si="10"/>
        <v>0</v>
      </c>
      <c r="S72" s="115">
        <f t="shared" si="10"/>
        <v>0</v>
      </c>
      <c r="T72" s="115">
        <f t="shared" si="10"/>
        <v>0</v>
      </c>
      <c r="U72" s="115">
        <f t="shared" si="10"/>
        <v>0</v>
      </c>
      <c r="V72" s="115">
        <f t="shared" si="10"/>
        <v>0</v>
      </c>
      <c r="W72" s="115">
        <f t="shared" si="10"/>
        <v>0</v>
      </c>
      <c r="X72" s="115">
        <f t="shared" si="10"/>
        <v>0</v>
      </c>
      <c r="Y72" s="115">
        <f t="shared" si="10"/>
        <v>0</v>
      </c>
      <c r="Z72" s="115">
        <f t="shared" si="10"/>
        <v>0</v>
      </c>
    </row>
    <row r="73" spans="1:26" ht="24" customHeight="1" x14ac:dyDescent="0.2">
      <c r="A73" s="192"/>
      <c r="B73" s="42" t="s">
        <v>128</v>
      </c>
      <c r="C73" s="115">
        <f>C$45*C$19</f>
        <v>0</v>
      </c>
      <c r="D73" s="115">
        <f t="shared" ref="D73:Z73" si="11">D$45*D$19</f>
        <v>0</v>
      </c>
      <c r="E73" s="115">
        <f t="shared" si="11"/>
        <v>0</v>
      </c>
      <c r="F73" s="115">
        <f t="shared" si="11"/>
        <v>0</v>
      </c>
      <c r="G73" s="115">
        <f t="shared" si="11"/>
        <v>0</v>
      </c>
      <c r="H73" s="115">
        <f t="shared" si="11"/>
        <v>0</v>
      </c>
      <c r="I73" s="115">
        <f t="shared" si="11"/>
        <v>0</v>
      </c>
      <c r="J73" s="115">
        <f t="shared" si="11"/>
        <v>0</v>
      </c>
      <c r="K73" s="115">
        <f t="shared" si="11"/>
        <v>0</v>
      </c>
      <c r="L73" s="115">
        <f t="shared" si="11"/>
        <v>0</v>
      </c>
      <c r="M73" s="115">
        <f t="shared" si="11"/>
        <v>0</v>
      </c>
      <c r="N73" s="115">
        <f t="shared" si="11"/>
        <v>0</v>
      </c>
      <c r="O73" s="115">
        <f t="shared" si="11"/>
        <v>0</v>
      </c>
      <c r="P73" s="115">
        <f t="shared" si="11"/>
        <v>0</v>
      </c>
      <c r="Q73" s="115">
        <f t="shared" si="11"/>
        <v>0</v>
      </c>
      <c r="R73" s="115">
        <f t="shared" si="11"/>
        <v>0</v>
      </c>
      <c r="S73" s="115">
        <f t="shared" si="11"/>
        <v>0</v>
      </c>
      <c r="T73" s="115">
        <f t="shared" si="11"/>
        <v>0</v>
      </c>
      <c r="U73" s="115">
        <f t="shared" si="11"/>
        <v>0</v>
      </c>
      <c r="V73" s="115">
        <f t="shared" si="11"/>
        <v>0</v>
      </c>
      <c r="W73" s="115">
        <f t="shared" si="11"/>
        <v>0</v>
      </c>
      <c r="X73" s="115">
        <f t="shared" si="11"/>
        <v>0</v>
      </c>
      <c r="Y73" s="115">
        <f t="shared" si="11"/>
        <v>0</v>
      </c>
      <c r="Z73" s="115">
        <f t="shared" si="11"/>
        <v>0</v>
      </c>
    </row>
    <row r="74" spans="1:26" ht="24" customHeight="1" x14ac:dyDescent="0.2">
      <c r="A74" s="192"/>
      <c r="B74" s="42" t="s">
        <v>123</v>
      </c>
      <c r="C74" s="115">
        <f>C$46*C$19</f>
        <v>0</v>
      </c>
      <c r="D74" s="115">
        <f t="shared" ref="D74:Z74" si="12">D$46*D$19</f>
        <v>0</v>
      </c>
      <c r="E74" s="115">
        <f t="shared" si="12"/>
        <v>0</v>
      </c>
      <c r="F74" s="115">
        <f t="shared" si="12"/>
        <v>0</v>
      </c>
      <c r="G74" s="115">
        <f t="shared" si="12"/>
        <v>0</v>
      </c>
      <c r="H74" s="115">
        <f t="shared" si="12"/>
        <v>0</v>
      </c>
      <c r="I74" s="115">
        <f t="shared" si="12"/>
        <v>0</v>
      </c>
      <c r="J74" s="115">
        <f t="shared" si="12"/>
        <v>0</v>
      </c>
      <c r="K74" s="115">
        <f t="shared" si="12"/>
        <v>0</v>
      </c>
      <c r="L74" s="115">
        <f t="shared" si="12"/>
        <v>0</v>
      </c>
      <c r="M74" s="115">
        <f t="shared" si="12"/>
        <v>0</v>
      </c>
      <c r="N74" s="115">
        <f t="shared" si="12"/>
        <v>0</v>
      </c>
      <c r="O74" s="115">
        <f t="shared" si="12"/>
        <v>0</v>
      </c>
      <c r="P74" s="115">
        <f t="shared" si="12"/>
        <v>0</v>
      </c>
      <c r="Q74" s="115">
        <f t="shared" si="12"/>
        <v>0</v>
      </c>
      <c r="R74" s="115">
        <f t="shared" si="12"/>
        <v>0</v>
      </c>
      <c r="S74" s="115">
        <f t="shared" si="12"/>
        <v>0</v>
      </c>
      <c r="T74" s="115">
        <f t="shared" si="12"/>
        <v>0</v>
      </c>
      <c r="U74" s="115">
        <f t="shared" si="12"/>
        <v>0</v>
      </c>
      <c r="V74" s="115">
        <f t="shared" si="12"/>
        <v>0</v>
      </c>
      <c r="W74" s="115">
        <f t="shared" si="12"/>
        <v>0</v>
      </c>
      <c r="X74" s="115">
        <f t="shared" si="12"/>
        <v>0</v>
      </c>
      <c r="Y74" s="115">
        <f t="shared" si="12"/>
        <v>0</v>
      </c>
      <c r="Z74" s="115">
        <f t="shared" si="12"/>
        <v>0</v>
      </c>
    </row>
    <row r="75" spans="1:26" ht="24" customHeight="1" x14ac:dyDescent="0.2">
      <c r="A75" s="192"/>
      <c r="B75" s="42" t="s">
        <v>129</v>
      </c>
      <c r="C75" s="115">
        <f>C$47*C$19</f>
        <v>0</v>
      </c>
      <c r="D75" s="115">
        <f t="shared" ref="D75:Z75" si="13">D$47*D$19</f>
        <v>0</v>
      </c>
      <c r="E75" s="115">
        <f t="shared" si="13"/>
        <v>0</v>
      </c>
      <c r="F75" s="115">
        <f t="shared" si="13"/>
        <v>0</v>
      </c>
      <c r="G75" s="115">
        <f t="shared" si="13"/>
        <v>0</v>
      </c>
      <c r="H75" s="115">
        <f t="shared" si="13"/>
        <v>0</v>
      </c>
      <c r="I75" s="115">
        <f t="shared" si="13"/>
        <v>0</v>
      </c>
      <c r="J75" s="115">
        <f t="shared" si="13"/>
        <v>0</v>
      </c>
      <c r="K75" s="115">
        <f t="shared" si="13"/>
        <v>0</v>
      </c>
      <c r="L75" s="115">
        <f t="shared" si="13"/>
        <v>0</v>
      </c>
      <c r="M75" s="115">
        <f t="shared" si="13"/>
        <v>0</v>
      </c>
      <c r="N75" s="115">
        <f t="shared" si="13"/>
        <v>0</v>
      </c>
      <c r="O75" s="115">
        <f t="shared" si="13"/>
        <v>0</v>
      </c>
      <c r="P75" s="115">
        <f t="shared" si="13"/>
        <v>0</v>
      </c>
      <c r="Q75" s="115">
        <f t="shared" si="13"/>
        <v>0</v>
      </c>
      <c r="R75" s="115">
        <f t="shared" si="13"/>
        <v>0</v>
      </c>
      <c r="S75" s="115">
        <f t="shared" si="13"/>
        <v>0</v>
      </c>
      <c r="T75" s="115">
        <f t="shared" si="13"/>
        <v>0</v>
      </c>
      <c r="U75" s="115">
        <f t="shared" si="13"/>
        <v>0</v>
      </c>
      <c r="V75" s="115">
        <f t="shared" si="13"/>
        <v>0</v>
      </c>
      <c r="W75" s="115">
        <f t="shared" si="13"/>
        <v>0</v>
      </c>
      <c r="X75" s="115">
        <f t="shared" si="13"/>
        <v>0</v>
      </c>
      <c r="Y75" s="115">
        <f t="shared" si="13"/>
        <v>0</v>
      </c>
      <c r="Z75" s="115">
        <f t="shared" si="13"/>
        <v>0</v>
      </c>
    </row>
    <row r="76" spans="1:26" ht="24" customHeight="1" x14ac:dyDescent="0.2">
      <c r="A76" s="192"/>
      <c r="B76" s="42" t="s">
        <v>130</v>
      </c>
      <c r="C76" s="115">
        <f>C$48*C$19</f>
        <v>0</v>
      </c>
      <c r="D76" s="115">
        <f t="shared" ref="D76:Z76" si="14">D$48*D$19</f>
        <v>0</v>
      </c>
      <c r="E76" s="115">
        <f t="shared" si="14"/>
        <v>0</v>
      </c>
      <c r="F76" s="115">
        <f t="shared" si="14"/>
        <v>0</v>
      </c>
      <c r="G76" s="115">
        <f t="shared" si="14"/>
        <v>0</v>
      </c>
      <c r="H76" s="115">
        <f t="shared" si="14"/>
        <v>0</v>
      </c>
      <c r="I76" s="115">
        <f t="shared" si="14"/>
        <v>0</v>
      </c>
      <c r="J76" s="115">
        <f t="shared" si="14"/>
        <v>0</v>
      </c>
      <c r="K76" s="115">
        <f t="shared" si="14"/>
        <v>0</v>
      </c>
      <c r="L76" s="115">
        <f t="shared" si="14"/>
        <v>0</v>
      </c>
      <c r="M76" s="115">
        <f t="shared" si="14"/>
        <v>0</v>
      </c>
      <c r="N76" s="115">
        <f t="shared" si="14"/>
        <v>0</v>
      </c>
      <c r="O76" s="115">
        <f t="shared" si="14"/>
        <v>0</v>
      </c>
      <c r="P76" s="115">
        <f t="shared" si="14"/>
        <v>0</v>
      </c>
      <c r="Q76" s="115">
        <f t="shared" si="14"/>
        <v>0</v>
      </c>
      <c r="R76" s="115">
        <f t="shared" si="14"/>
        <v>0</v>
      </c>
      <c r="S76" s="115">
        <f t="shared" si="14"/>
        <v>0</v>
      </c>
      <c r="T76" s="115">
        <f t="shared" si="14"/>
        <v>0</v>
      </c>
      <c r="U76" s="115">
        <f t="shared" si="14"/>
        <v>0</v>
      </c>
      <c r="V76" s="115">
        <f t="shared" si="14"/>
        <v>0</v>
      </c>
      <c r="W76" s="115">
        <f t="shared" si="14"/>
        <v>0</v>
      </c>
      <c r="X76" s="115">
        <f t="shared" si="14"/>
        <v>0</v>
      </c>
      <c r="Y76" s="115">
        <f t="shared" si="14"/>
        <v>0</v>
      </c>
      <c r="Z76" s="115">
        <f t="shared" si="14"/>
        <v>0</v>
      </c>
    </row>
    <row r="77" spans="1:26" ht="24" customHeight="1" x14ac:dyDescent="0.2">
      <c r="A77" s="192"/>
      <c r="B77" s="42" t="s">
        <v>124</v>
      </c>
      <c r="C77" s="115">
        <f>C$49*C$19</f>
        <v>0</v>
      </c>
      <c r="D77" s="115">
        <f t="shared" ref="D77:Z77" si="15">D$49*D$19</f>
        <v>0</v>
      </c>
      <c r="E77" s="115">
        <f t="shared" si="15"/>
        <v>0</v>
      </c>
      <c r="F77" s="115">
        <f t="shared" si="15"/>
        <v>0</v>
      </c>
      <c r="G77" s="115">
        <f t="shared" si="15"/>
        <v>0</v>
      </c>
      <c r="H77" s="115">
        <f t="shared" si="15"/>
        <v>0</v>
      </c>
      <c r="I77" s="115">
        <f t="shared" si="15"/>
        <v>0</v>
      </c>
      <c r="J77" s="115">
        <f t="shared" si="15"/>
        <v>0</v>
      </c>
      <c r="K77" s="115">
        <f t="shared" si="15"/>
        <v>0</v>
      </c>
      <c r="L77" s="115">
        <f t="shared" si="15"/>
        <v>0</v>
      </c>
      <c r="M77" s="115">
        <f t="shared" si="15"/>
        <v>0</v>
      </c>
      <c r="N77" s="115">
        <f t="shared" si="15"/>
        <v>0</v>
      </c>
      <c r="O77" s="115">
        <f t="shared" si="15"/>
        <v>0</v>
      </c>
      <c r="P77" s="115">
        <f t="shared" si="15"/>
        <v>0</v>
      </c>
      <c r="Q77" s="115">
        <f t="shared" si="15"/>
        <v>0</v>
      </c>
      <c r="R77" s="115">
        <f t="shared" si="15"/>
        <v>0</v>
      </c>
      <c r="S77" s="115">
        <f t="shared" si="15"/>
        <v>0</v>
      </c>
      <c r="T77" s="115">
        <f t="shared" si="15"/>
        <v>0</v>
      </c>
      <c r="U77" s="115">
        <f t="shared" si="15"/>
        <v>0</v>
      </c>
      <c r="V77" s="115">
        <f t="shared" si="15"/>
        <v>0</v>
      </c>
      <c r="W77" s="115">
        <f t="shared" si="15"/>
        <v>0</v>
      </c>
      <c r="X77" s="115">
        <f t="shared" si="15"/>
        <v>0</v>
      </c>
      <c r="Y77" s="115">
        <f t="shared" si="15"/>
        <v>0</v>
      </c>
      <c r="Z77" s="115">
        <f t="shared" si="15"/>
        <v>0</v>
      </c>
    </row>
    <row r="78" spans="1:26" ht="24" customHeight="1" x14ac:dyDescent="0.2">
      <c r="A78" s="192"/>
      <c r="B78" s="42" t="s">
        <v>15</v>
      </c>
      <c r="C78" s="115">
        <f>C$50*C$19</f>
        <v>0</v>
      </c>
      <c r="D78" s="115">
        <f t="shared" ref="D78:Z78" si="16">D$50*D$19</f>
        <v>0</v>
      </c>
      <c r="E78" s="115">
        <f t="shared" si="16"/>
        <v>0</v>
      </c>
      <c r="F78" s="115">
        <f t="shared" si="16"/>
        <v>0</v>
      </c>
      <c r="G78" s="115">
        <f t="shared" si="16"/>
        <v>0</v>
      </c>
      <c r="H78" s="115">
        <f t="shared" si="16"/>
        <v>0</v>
      </c>
      <c r="I78" s="115">
        <f t="shared" si="16"/>
        <v>0</v>
      </c>
      <c r="J78" s="115">
        <f t="shared" si="16"/>
        <v>0</v>
      </c>
      <c r="K78" s="115">
        <f t="shared" si="16"/>
        <v>0</v>
      </c>
      <c r="L78" s="115">
        <f t="shared" si="16"/>
        <v>0</v>
      </c>
      <c r="M78" s="115">
        <f t="shared" si="16"/>
        <v>0</v>
      </c>
      <c r="N78" s="115">
        <f t="shared" si="16"/>
        <v>0</v>
      </c>
      <c r="O78" s="115">
        <f t="shared" si="16"/>
        <v>0</v>
      </c>
      <c r="P78" s="115">
        <f t="shared" si="16"/>
        <v>0</v>
      </c>
      <c r="Q78" s="115">
        <f t="shared" si="16"/>
        <v>0</v>
      </c>
      <c r="R78" s="115">
        <f t="shared" si="16"/>
        <v>0</v>
      </c>
      <c r="S78" s="115">
        <f t="shared" si="16"/>
        <v>0</v>
      </c>
      <c r="T78" s="115">
        <f t="shared" si="16"/>
        <v>0</v>
      </c>
      <c r="U78" s="115">
        <f t="shared" si="16"/>
        <v>0</v>
      </c>
      <c r="V78" s="115">
        <f t="shared" si="16"/>
        <v>0</v>
      </c>
      <c r="W78" s="115">
        <f t="shared" si="16"/>
        <v>0</v>
      </c>
      <c r="X78" s="115">
        <f t="shared" si="16"/>
        <v>0</v>
      </c>
      <c r="Y78" s="115">
        <f t="shared" si="16"/>
        <v>0</v>
      </c>
      <c r="Z78" s="115">
        <f t="shared" si="16"/>
        <v>0</v>
      </c>
    </row>
    <row r="79" spans="1:26" ht="24" customHeight="1" x14ac:dyDescent="0.2">
      <c r="A79" s="192"/>
      <c r="B79" s="42" t="s">
        <v>125</v>
      </c>
      <c r="C79" s="115">
        <f>C$51*C$19</f>
        <v>0</v>
      </c>
      <c r="D79" s="115">
        <f t="shared" ref="D79:Z79" si="17">D$51*D$19</f>
        <v>0</v>
      </c>
      <c r="E79" s="115">
        <f t="shared" si="17"/>
        <v>0</v>
      </c>
      <c r="F79" s="115">
        <f t="shared" si="17"/>
        <v>0</v>
      </c>
      <c r="G79" s="115">
        <f t="shared" si="17"/>
        <v>0</v>
      </c>
      <c r="H79" s="115">
        <f t="shared" si="17"/>
        <v>0</v>
      </c>
      <c r="I79" s="115">
        <f t="shared" si="17"/>
        <v>0</v>
      </c>
      <c r="J79" s="115">
        <f t="shared" si="17"/>
        <v>0</v>
      </c>
      <c r="K79" s="115">
        <f t="shared" si="17"/>
        <v>0</v>
      </c>
      <c r="L79" s="115">
        <f t="shared" si="17"/>
        <v>0</v>
      </c>
      <c r="M79" s="115">
        <f t="shared" si="17"/>
        <v>0</v>
      </c>
      <c r="N79" s="115">
        <f t="shared" si="17"/>
        <v>0</v>
      </c>
      <c r="O79" s="115">
        <f t="shared" si="17"/>
        <v>0</v>
      </c>
      <c r="P79" s="115">
        <f t="shared" si="17"/>
        <v>0</v>
      </c>
      <c r="Q79" s="115">
        <f t="shared" si="17"/>
        <v>0</v>
      </c>
      <c r="R79" s="115">
        <f t="shared" si="17"/>
        <v>0</v>
      </c>
      <c r="S79" s="115">
        <f t="shared" si="17"/>
        <v>0</v>
      </c>
      <c r="T79" s="115">
        <f t="shared" si="17"/>
        <v>0</v>
      </c>
      <c r="U79" s="115">
        <f t="shared" si="17"/>
        <v>0</v>
      </c>
      <c r="V79" s="115">
        <f t="shared" si="17"/>
        <v>0</v>
      </c>
      <c r="W79" s="115">
        <f t="shared" si="17"/>
        <v>0</v>
      </c>
      <c r="X79" s="115">
        <f t="shared" si="17"/>
        <v>0</v>
      </c>
      <c r="Y79" s="115">
        <f t="shared" si="17"/>
        <v>0</v>
      </c>
      <c r="Z79" s="115">
        <f t="shared" si="17"/>
        <v>0</v>
      </c>
    </row>
    <row r="80" spans="1:26" ht="24" customHeight="1" x14ac:dyDescent="0.2">
      <c r="A80" s="192"/>
      <c r="B80" s="42" t="s">
        <v>126</v>
      </c>
      <c r="C80" s="115">
        <f>C$52*C$19</f>
        <v>0</v>
      </c>
      <c r="D80" s="115">
        <f t="shared" ref="D80:Z80" si="18">D$52*D$19</f>
        <v>0</v>
      </c>
      <c r="E80" s="115">
        <f t="shared" si="18"/>
        <v>0</v>
      </c>
      <c r="F80" s="115">
        <f t="shared" si="18"/>
        <v>0</v>
      </c>
      <c r="G80" s="115">
        <f t="shared" si="18"/>
        <v>0</v>
      </c>
      <c r="H80" s="115">
        <f t="shared" si="18"/>
        <v>0</v>
      </c>
      <c r="I80" s="115">
        <f t="shared" si="18"/>
        <v>0</v>
      </c>
      <c r="J80" s="115">
        <f t="shared" si="18"/>
        <v>0</v>
      </c>
      <c r="K80" s="115">
        <f t="shared" si="18"/>
        <v>0</v>
      </c>
      <c r="L80" s="115">
        <f t="shared" si="18"/>
        <v>0</v>
      </c>
      <c r="M80" s="115">
        <f t="shared" si="18"/>
        <v>0</v>
      </c>
      <c r="N80" s="115">
        <f t="shared" si="18"/>
        <v>0</v>
      </c>
      <c r="O80" s="115">
        <f t="shared" si="18"/>
        <v>0</v>
      </c>
      <c r="P80" s="115">
        <f t="shared" si="18"/>
        <v>0</v>
      </c>
      <c r="Q80" s="115">
        <f t="shared" si="18"/>
        <v>0</v>
      </c>
      <c r="R80" s="115">
        <f t="shared" si="18"/>
        <v>0</v>
      </c>
      <c r="S80" s="115">
        <f t="shared" si="18"/>
        <v>0</v>
      </c>
      <c r="T80" s="115">
        <f t="shared" si="18"/>
        <v>0</v>
      </c>
      <c r="U80" s="115">
        <f t="shared" si="18"/>
        <v>0</v>
      </c>
      <c r="V80" s="115">
        <f t="shared" si="18"/>
        <v>0</v>
      </c>
      <c r="W80" s="115">
        <f t="shared" si="18"/>
        <v>0</v>
      </c>
      <c r="X80" s="115">
        <f t="shared" si="18"/>
        <v>0</v>
      </c>
      <c r="Y80" s="115">
        <f t="shared" si="18"/>
        <v>0</v>
      </c>
      <c r="Z80" s="115">
        <f t="shared" si="18"/>
        <v>0</v>
      </c>
    </row>
    <row r="81" spans="1:26" ht="24" customHeight="1" x14ac:dyDescent="0.2">
      <c r="A81" s="192"/>
      <c r="B81" s="42" t="s">
        <v>127</v>
      </c>
      <c r="C81" s="115">
        <f>C$53*C$19</f>
        <v>0</v>
      </c>
      <c r="D81" s="115">
        <f t="shared" ref="D81:Z81" si="19">D$53*D$19</f>
        <v>0</v>
      </c>
      <c r="E81" s="115">
        <f t="shared" si="19"/>
        <v>0</v>
      </c>
      <c r="F81" s="115">
        <f t="shared" si="19"/>
        <v>0</v>
      </c>
      <c r="G81" s="115">
        <f t="shared" si="19"/>
        <v>0</v>
      </c>
      <c r="H81" s="115">
        <f t="shared" si="19"/>
        <v>0</v>
      </c>
      <c r="I81" s="115">
        <f t="shared" si="19"/>
        <v>0</v>
      </c>
      <c r="J81" s="115">
        <f t="shared" si="19"/>
        <v>0</v>
      </c>
      <c r="K81" s="115">
        <f t="shared" si="19"/>
        <v>0</v>
      </c>
      <c r="L81" s="115">
        <f t="shared" si="19"/>
        <v>0</v>
      </c>
      <c r="M81" s="115">
        <f t="shared" si="19"/>
        <v>0</v>
      </c>
      <c r="N81" s="115">
        <f t="shared" si="19"/>
        <v>0</v>
      </c>
      <c r="O81" s="115">
        <f t="shared" si="19"/>
        <v>0</v>
      </c>
      <c r="P81" s="115">
        <f t="shared" si="19"/>
        <v>0</v>
      </c>
      <c r="Q81" s="115">
        <f t="shared" si="19"/>
        <v>0</v>
      </c>
      <c r="R81" s="115">
        <f t="shared" si="19"/>
        <v>0</v>
      </c>
      <c r="S81" s="115">
        <f t="shared" si="19"/>
        <v>0</v>
      </c>
      <c r="T81" s="115">
        <f t="shared" si="19"/>
        <v>0</v>
      </c>
      <c r="U81" s="115">
        <f t="shared" si="19"/>
        <v>0</v>
      </c>
      <c r="V81" s="115">
        <f t="shared" si="19"/>
        <v>0</v>
      </c>
      <c r="W81" s="115">
        <f t="shared" si="19"/>
        <v>0</v>
      </c>
      <c r="X81" s="115">
        <f t="shared" si="19"/>
        <v>0</v>
      </c>
      <c r="Y81" s="115">
        <f t="shared" si="19"/>
        <v>0</v>
      </c>
      <c r="Z81" s="115">
        <f t="shared" si="19"/>
        <v>0</v>
      </c>
    </row>
    <row r="82" spans="1:26" ht="24" customHeight="1" x14ac:dyDescent="0.2">
      <c r="A82" s="192"/>
      <c r="B82" s="42" t="s">
        <v>135</v>
      </c>
      <c r="C82" s="115">
        <f>C$54*C$19</f>
        <v>0</v>
      </c>
      <c r="D82" s="115">
        <f t="shared" ref="D82:Z82" si="20">D$54*D$19</f>
        <v>0</v>
      </c>
      <c r="E82" s="115">
        <f t="shared" si="20"/>
        <v>0</v>
      </c>
      <c r="F82" s="115">
        <f t="shared" si="20"/>
        <v>0</v>
      </c>
      <c r="G82" s="115">
        <f t="shared" si="20"/>
        <v>0</v>
      </c>
      <c r="H82" s="115">
        <f t="shared" si="20"/>
        <v>0</v>
      </c>
      <c r="I82" s="115">
        <f t="shared" si="20"/>
        <v>0</v>
      </c>
      <c r="J82" s="115">
        <f t="shared" si="20"/>
        <v>0</v>
      </c>
      <c r="K82" s="115">
        <f t="shared" si="20"/>
        <v>0</v>
      </c>
      <c r="L82" s="115">
        <f t="shared" si="20"/>
        <v>0</v>
      </c>
      <c r="M82" s="115">
        <f t="shared" si="20"/>
        <v>0</v>
      </c>
      <c r="N82" s="115">
        <f t="shared" si="20"/>
        <v>0</v>
      </c>
      <c r="O82" s="115">
        <f t="shared" si="20"/>
        <v>0</v>
      </c>
      <c r="P82" s="115">
        <f t="shared" si="20"/>
        <v>0</v>
      </c>
      <c r="Q82" s="115">
        <f t="shared" si="20"/>
        <v>0</v>
      </c>
      <c r="R82" s="115">
        <f t="shared" si="20"/>
        <v>0</v>
      </c>
      <c r="S82" s="115">
        <f t="shared" si="20"/>
        <v>0</v>
      </c>
      <c r="T82" s="115">
        <f t="shared" si="20"/>
        <v>0</v>
      </c>
      <c r="U82" s="115">
        <f t="shared" si="20"/>
        <v>0</v>
      </c>
      <c r="V82" s="115">
        <f t="shared" si="20"/>
        <v>0</v>
      </c>
      <c r="W82" s="115">
        <f t="shared" si="20"/>
        <v>0</v>
      </c>
      <c r="X82" s="115">
        <f t="shared" si="20"/>
        <v>0</v>
      </c>
      <c r="Y82" s="115">
        <f t="shared" si="20"/>
        <v>0</v>
      </c>
      <c r="Z82" s="115">
        <f t="shared" si="20"/>
        <v>0</v>
      </c>
    </row>
    <row r="83" spans="1:26" ht="24" customHeight="1" x14ac:dyDescent="0.2">
      <c r="A83" s="192"/>
      <c r="B83" s="42" t="s">
        <v>131</v>
      </c>
      <c r="C83" s="115">
        <f>C$55*C$19</f>
        <v>0</v>
      </c>
      <c r="D83" s="115">
        <f t="shared" ref="D83:Z83" si="21">D$55*D$19</f>
        <v>0</v>
      </c>
      <c r="E83" s="115">
        <f t="shared" si="21"/>
        <v>0</v>
      </c>
      <c r="F83" s="115">
        <f t="shared" si="21"/>
        <v>0</v>
      </c>
      <c r="G83" s="115">
        <f t="shared" si="21"/>
        <v>0</v>
      </c>
      <c r="H83" s="115">
        <f t="shared" si="21"/>
        <v>0</v>
      </c>
      <c r="I83" s="115">
        <f t="shared" si="21"/>
        <v>0</v>
      </c>
      <c r="J83" s="115">
        <f t="shared" si="21"/>
        <v>0</v>
      </c>
      <c r="K83" s="115">
        <f t="shared" si="21"/>
        <v>0</v>
      </c>
      <c r="L83" s="115">
        <f t="shared" si="21"/>
        <v>0</v>
      </c>
      <c r="M83" s="115">
        <f t="shared" si="21"/>
        <v>0</v>
      </c>
      <c r="N83" s="115">
        <f t="shared" si="21"/>
        <v>0</v>
      </c>
      <c r="O83" s="115">
        <f t="shared" si="21"/>
        <v>0</v>
      </c>
      <c r="P83" s="115">
        <f t="shared" si="21"/>
        <v>0</v>
      </c>
      <c r="Q83" s="115">
        <f t="shared" si="21"/>
        <v>0</v>
      </c>
      <c r="R83" s="115">
        <f t="shared" si="21"/>
        <v>0</v>
      </c>
      <c r="S83" s="115">
        <f t="shared" si="21"/>
        <v>0</v>
      </c>
      <c r="T83" s="115">
        <f t="shared" si="21"/>
        <v>0</v>
      </c>
      <c r="U83" s="115">
        <f t="shared" si="21"/>
        <v>0</v>
      </c>
      <c r="V83" s="115">
        <f t="shared" si="21"/>
        <v>0</v>
      </c>
      <c r="W83" s="115">
        <f t="shared" si="21"/>
        <v>0</v>
      </c>
      <c r="X83" s="115">
        <f t="shared" si="21"/>
        <v>0</v>
      </c>
      <c r="Y83" s="115">
        <f t="shared" si="21"/>
        <v>0</v>
      </c>
      <c r="Z83" s="115">
        <f t="shared" si="21"/>
        <v>0</v>
      </c>
    </row>
    <row r="84" spans="1:26" ht="24" customHeight="1" x14ac:dyDescent="0.2">
      <c r="A84" s="192"/>
      <c r="B84" s="42" t="s">
        <v>132</v>
      </c>
      <c r="C84" s="115">
        <f>C$56*C$19</f>
        <v>0</v>
      </c>
      <c r="D84" s="115">
        <f t="shared" ref="D84:Z84" si="22">D$56*D$19</f>
        <v>0</v>
      </c>
      <c r="E84" s="115">
        <f t="shared" si="22"/>
        <v>0</v>
      </c>
      <c r="F84" s="115">
        <f t="shared" si="22"/>
        <v>0</v>
      </c>
      <c r="G84" s="115">
        <f t="shared" si="22"/>
        <v>0</v>
      </c>
      <c r="H84" s="115">
        <f t="shared" si="22"/>
        <v>0</v>
      </c>
      <c r="I84" s="115">
        <f t="shared" si="22"/>
        <v>0</v>
      </c>
      <c r="J84" s="115">
        <f t="shared" si="22"/>
        <v>0</v>
      </c>
      <c r="K84" s="115">
        <f t="shared" si="22"/>
        <v>0</v>
      </c>
      <c r="L84" s="115">
        <f t="shared" si="22"/>
        <v>0</v>
      </c>
      <c r="M84" s="115">
        <f t="shared" si="22"/>
        <v>0</v>
      </c>
      <c r="N84" s="115">
        <f t="shared" si="22"/>
        <v>0</v>
      </c>
      <c r="O84" s="115">
        <f t="shared" si="22"/>
        <v>0</v>
      </c>
      <c r="P84" s="115">
        <f t="shared" si="22"/>
        <v>0</v>
      </c>
      <c r="Q84" s="115">
        <f t="shared" si="22"/>
        <v>0</v>
      </c>
      <c r="R84" s="115">
        <f t="shared" si="22"/>
        <v>0</v>
      </c>
      <c r="S84" s="115">
        <f t="shared" si="22"/>
        <v>0</v>
      </c>
      <c r="T84" s="115">
        <f t="shared" si="22"/>
        <v>0</v>
      </c>
      <c r="U84" s="115">
        <f t="shared" si="22"/>
        <v>0</v>
      </c>
      <c r="V84" s="115">
        <f t="shared" si="22"/>
        <v>0</v>
      </c>
      <c r="W84" s="115">
        <f t="shared" si="22"/>
        <v>0</v>
      </c>
      <c r="X84" s="115">
        <f t="shared" si="22"/>
        <v>0</v>
      </c>
      <c r="Y84" s="115">
        <f t="shared" si="22"/>
        <v>0</v>
      </c>
      <c r="Z84" s="115">
        <f t="shared" si="22"/>
        <v>0</v>
      </c>
    </row>
    <row r="85" spans="1:26" ht="24" customHeight="1" x14ac:dyDescent="0.2">
      <c r="A85" s="192"/>
      <c r="B85" s="42" t="s">
        <v>136</v>
      </c>
      <c r="C85" s="115">
        <f>C$57*C$19</f>
        <v>0</v>
      </c>
      <c r="D85" s="115">
        <f t="shared" ref="D85:Z85" si="23">D$57*D$19</f>
        <v>0</v>
      </c>
      <c r="E85" s="115">
        <f t="shared" si="23"/>
        <v>0</v>
      </c>
      <c r="F85" s="115">
        <f t="shared" si="23"/>
        <v>0</v>
      </c>
      <c r="G85" s="115">
        <f t="shared" si="23"/>
        <v>0</v>
      </c>
      <c r="H85" s="115">
        <f t="shared" si="23"/>
        <v>0</v>
      </c>
      <c r="I85" s="115">
        <f t="shared" si="23"/>
        <v>0</v>
      </c>
      <c r="J85" s="115">
        <f t="shared" si="23"/>
        <v>0</v>
      </c>
      <c r="K85" s="115">
        <f t="shared" si="23"/>
        <v>0</v>
      </c>
      <c r="L85" s="115">
        <f t="shared" si="23"/>
        <v>0</v>
      </c>
      <c r="M85" s="115">
        <f t="shared" si="23"/>
        <v>0</v>
      </c>
      <c r="N85" s="115">
        <f t="shared" si="23"/>
        <v>0</v>
      </c>
      <c r="O85" s="115">
        <f t="shared" si="23"/>
        <v>0</v>
      </c>
      <c r="P85" s="115">
        <f t="shared" si="23"/>
        <v>0</v>
      </c>
      <c r="Q85" s="115">
        <f t="shared" si="23"/>
        <v>0</v>
      </c>
      <c r="R85" s="115">
        <f t="shared" si="23"/>
        <v>0</v>
      </c>
      <c r="S85" s="115">
        <f t="shared" si="23"/>
        <v>0</v>
      </c>
      <c r="T85" s="115">
        <f t="shared" si="23"/>
        <v>0</v>
      </c>
      <c r="U85" s="115">
        <f t="shared" si="23"/>
        <v>0</v>
      </c>
      <c r="V85" s="115">
        <f t="shared" si="23"/>
        <v>0</v>
      </c>
      <c r="W85" s="115">
        <f t="shared" si="23"/>
        <v>0</v>
      </c>
      <c r="X85" s="115">
        <f t="shared" si="23"/>
        <v>0</v>
      </c>
      <c r="Y85" s="115">
        <f t="shared" si="23"/>
        <v>0</v>
      </c>
      <c r="Z85" s="115">
        <f t="shared" si="23"/>
        <v>0</v>
      </c>
    </row>
    <row r="86" spans="1:26" ht="24" customHeight="1" x14ac:dyDescent="0.2">
      <c r="A86" s="192"/>
      <c r="B86" s="42" t="s">
        <v>133</v>
      </c>
      <c r="C86" s="115">
        <f>C$58*C$19</f>
        <v>0</v>
      </c>
      <c r="D86" s="115">
        <f t="shared" ref="D86:Z86" si="24">D$58*D$19</f>
        <v>0</v>
      </c>
      <c r="E86" s="115">
        <f t="shared" si="24"/>
        <v>0</v>
      </c>
      <c r="F86" s="115">
        <f t="shared" si="24"/>
        <v>0</v>
      </c>
      <c r="G86" s="115">
        <f t="shared" si="24"/>
        <v>0</v>
      </c>
      <c r="H86" s="115">
        <f t="shared" si="24"/>
        <v>0</v>
      </c>
      <c r="I86" s="115">
        <f t="shared" si="24"/>
        <v>0</v>
      </c>
      <c r="J86" s="115">
        <f t="shared" si="24"/>
        <v>0</v>
      </c>
      <c r="K86" s="115">
        <f t="shared" si="24"/>
        <v>0</v>
      </c>
      <c r="L86" s="115">
        <f t="shared" si="24"/>
        <v>0</v>
      </c>
      <c r="M86" s="115">
        <f t="shared" si="24"/>
        <v>0</v>
      </c>
      <c r="N86" s="115">
        <f t="shared" si="24"/>
        <v>0</v>
      </c>
      <c r="O86" s="115">
        <f t="shared" si="24"/>
        <v>0</v>
      </c>
      <c r="P86" s="115">
        <f t="shared" si="24"/>
        <v>0</v>
      </c>
      <c r="Q86" s="115">
        <f t="shared" si="24"/>
        <v>0</v>
      </c>
      <c r="R86" s="115">
        <f t="shared" si="24"/>
        <v>0</v>
      </c>
      <c r="S86" s="115">
        <f t="shared" si="24"/>
        <v>0</v>
      </c>
      <c r="T86" s="115">
        <f t="shared" si="24"/>
        <v>0</v>
      </c>
      <c r="U86" s="115">
        <f t="shared" si="24"/>
        <v>0</v>
      </c>
      <c r="V86" s="115">
        <f t="shared" si="24"/>
        <v>0</v>
      </c>
      <c r="W86" s="115">
        <f t="shared" si="24"/>
        <v>0</v>
      </c>
      <c r="X86" s="115">
        <f t="shared" si="24"/>
        <v>0</v>
      </c>
      <c r="Y86" s="115">
        <f t="shared" si="24"/>
        <v>0</v>
      </c>
      <c r="Z86" s="115">
        <f t="shared" si="24"/>
        <v>0</v>
      </c>
    </row>
    <row r="87" spans="1:26" ht="24" customHeight="1" x14ac:dyDescent="0.2">
      <c r="A87" s="192"/>
      <c r="B87" s="42" t="s">
        <v>134</v>
      </c>
      <c r="C87" s="115">
        <f>C$59*C$19</f>
        <v>0</v>
      </c>
      <c r="D87" s="115">
        <f t="shared" ref="D87:Z87" si="25">D$59*D$19</f>
        <v>0</v>
      </c>
      <c r="E87" s="115">
        <f t="shared" si="25"/>
        <v>0</v>
      </c>
      <c r="F87" s="115">
        <f t="shared" si="25"/>
        <v>0</v>
      </c>
      <c r="G87" s="115">
        <f t="shared" si="25"/>
        <v>0</v>
      </c>
      <c r="H87" s="115">
        <f t="shared" si="25"/>
        <v>0</v>
      </c>
      <c r="I87" s="115">
        <f t="shared" si="25"/>
        <v>0</v>
      </c>
      <c r="J87" s="115">
        <f t="shared" si="25"/>
        <v>0</v>
      </c>
      <c r="K87" s="115">
        <f t="shared" si="25"/>
        <v>0</v>
      </c>
      <c r="L87" s="115">
        <f t="shared" si="25"/>
        <v>0</v>
      </c>
      <c r="M87" s="115">
        <f t="shared" si="25"/>
        <v>0</v>
      </c>
      <c r="N87" s="115">
        <f t="shared" si="25"/>
        <v>0</v>
      </c>
      <c r="O87" s="115">
        <f t="shared" si="25"/>
        <v>0</v>
      </c>
      <c r="P87" s="115">
        <f t="shared" si="25"/>
        <v>0</v>
      </c>
      <c r="Q87" s="115">
        <f t="shared" si="25"/>
        <v>0</v>
      </c>
      <c r="R87" s="115">
        <f t="shared" si="25"/>
        <v>0</v>
      </c>
      <c r="S87" s="115">
        <f t="shared" si="25"/>
        <v>0</v>
      </c>
      <c r="T87" s="115">
        <f t="shared" si="25"/>
        <v>0</v>
      </c>
      <c r="U87" s="115">
        <f t="shared" si="25"/>
        <v>0</v>
      </c>
      <c r="V87" s="115">
        <f t="shared" si="25"/>
        <v>0</v>
      </c>
      <c r="W87" s="115">
        <f t="shared" si="25"/>
        <v>0</v>
      </c>
      <c r="X87" s="115">
        <f t="shared" si="25"/>
        <v>0</v>
      </c>
      <c r="Y87" s="115">
        <f t="shared" si="25"/>
        <v>0</v>
      </c>
      <c r="Z87" s="115">
        <f t="shared" si="25"/>
        <v>0</v>
      </c>
    </row>
    <row r="88" spans="1:26" s="51" customFormat="1" ht="12.75" customHeight="1" x14ac:dyDescent="0.2">
      <c r="B88" s="61"/>
      <c r="C88" s="53"/>
      <c r="D88" s="53"/>
      <c r="E88" s="53"/>
      <c r="F88" s="53"/>
      <c r="G88" s="53"/>
      <c r="H88" s="53"/>
      <c r="I88" s="53"/>
      <c r="J88" s="53"/>
      <c r="K88" s="53"/>
      <c r="L88" s="53"/>
      <c r="M88" s="53"/>
      <c r="N88" s="53"/>
      <c r="O88" s="53"/>
      <c r="P88" s="53"/>
      <c r="Q88" s="53"/>
      <c r="R88" s="53"/>
      <c r="S88" s="53"/>
      <c r="T88" s="53"/>
      <c r="U88" s="53"/>
      <c r="V88" s="53"/>
      <c r="W88" s="53"/>
      <c r="X88" s="53"/>
      <c r="Y88" s="53"/>
      <c r="Z88" s="53"/>
    </row>
  </sheetData>
  <mergeCells count="13">
    <mergeCell ref="A71:B71"/>
    <mergeCell ref="A72:A87"/>
    <mergeCell ref="A1:B1"/>
    <mergeCell ref="A62:A70"/>
    <mergeCell ref="A33:B33"/>
    <mergeCell ref="A43:B43"/>
    <mergeCell ref="A30:A31"/>
    <mergeCell ref="A61:B61"/>
    <mergeCell ref="A25:A28"/>
    <mergeCell ref="A34:A42"/>
    <mergeCell ref="A44:A59"/>
    <mergeCell ref="A22:A23"/>
    <mergeCell ref="A10:A20"/>
  </mergeCells>
  <pageMargins left="0.7" right="0.7" top="0.78740157499999996" bottom="0.78740157499999996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4"/>
  <sheetViews>
    <sheetView workbookViewId="0">
      <selection sqref="A1:B1"/>
    </sheetView>
  </sheetViews>
  <sheetFormatPr baseColWidth="10" defaultColWidth="11.42578125" defaultRowHeight="12.75" x14ac:dyDescent="0.2"/>
  <cols>
    <col min="1" max="1" width="4.28515625" style="50" customWidth="1"/>
    <col min="2" max="2" width="25" style="50" customWidth="1"/>
    <col min="3" max="16384" width="11.42578125" style="50"/>
  </cols>
  <sheetData>
    <row r="1" spans="1:26" s="2" customFormat="1" ht="30" customHeight="1" x14ac:dyDescent="0.2">
      <c r="A1" s="193" t="s">
        <v>188</v>
      </c>
      <c r="B1" s="19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s="2" customFormat="1" ht="12.75" customHeight="1" x14ac:dyDescent="0.2">
      <c r="B2" s="7" t="s">
        <v>74</v>
      </c>
      <c r="C2" s="119">
        <f>an!C$17*100/(100-an!C$20)</f>
        <v>82.283708445178604</v>
      </c>
      <c r="D2" s="119">
        <f>an!D$17*100/(100-an!D$20)</f>
        <v>83.195020746887963</v>
      </c>
      <c r="E2" s="119">
        <f>an!E$17*100/(100-an!E$20)</f>
        <v>73.481781376518214</v>
      </c>
      <c r="F2" s="119">
        <f>an!F$17*100/(100-an!F$20)</f>
        <v>82.283708445178604</v>
      </c>
      <c r="G2" s="119">
        <f>an!G$17*100/(100-an!G$20)</f>
        <v>100.00020000040001</v>
      </c>
      <c r="H2" s="119">
        <f>an!H$17*100/(100-an!H$20)</f>
        <v>100.00020000040001</v>
      </c>
      <c r="I2" s="119">
        <f>an!I$17*100/(100-an!I$20)</f>
        <v>100</v>
      </c>
      <c r="J2" s="119">
        <f>an!J$17*100/(100-an!J$20)</f>
        <v>100</v>
      </c>
      <c r="K2" s="119">
        <f>an!K$17*100/(100-an!K$20)</f>
        <v>0</v>
      </c>
      <c r="L2" s="119">
        <f>an!L$17*100/(100-an!L$20)</f>
        <v>0</v>
      </c>
      <c r="M2" s="119">
        <f>an!M$17*100/(100-an!M$20)</f>
        <v>0</v>
      </c>
      <c r="N2" s="119">
        <f>an!N$17*100/(100-an!N$20)</f>
        <v>0</v>
      </c>
      <c r="O2" s="119">
        <f>an!O$17*100/(100-an!O$20)</f>
        <v>0</v>
      </c>
      <c r="P2" s="119">
        <f>an!P$17*100/(100-an!P$20)</f>
        <v>0</v>
      </c>
      <c r="Q2" s="119">
        <f>an!Q$17*100/(100-an!Q$20)</f>
        <v>0</v>
      </c>
      <c r="R2" s="119">
        <f>an!R$17*100/(100-an!R$20)</f>
        <v>0</v>
      </c>
      <c r="S2" s="119">
        <f>an!S$17*100/(100-an!S$20)</f>
        <v>0</v>
      </c>
      <c r="T2" s="119">
        <f>an!T$17*100/(100-an!T$20)</f>
        <v>0</v>
      </c>
      <c r="U2" s="119">
        <f>an!U$17*100/(100-an!U$20)</f>
        <v>0</v>
      </c>
      <c r="V2" s="119">
        <f>an!V$17*100/(100-an!V$20)</f>
        <v>0</v>
      </c>
      <c r="W2" s="119">
        <f>an!W$17*100/(100-an!W$20)</f>
        <v>0</v>
      </c>
      <c r="X2" s="119">
        <f>an!X$17*100/(100-an!X$20)</f>
        <v>0</v>
      </c>
      <c r="Y2" s="119">
        <f>an!Y$17*100/(100-an!Y$20)</f>
        <v>0</v>
      </c>
      <c r="Z2" s="119">
        <f>an!Z$17*100/(100-an!Z$20)</f>
        <v>0</v>
      </c>
    </row>
    <row r="3" spans="1:26" s="2" customFormat="1" ht="12.75" customHeight="1" x14ac:dyDescent="0.2">
      <c r="B3" s="7" t="s">
        <v>75</v>
      </c>
      <c r="C3" s="119">
        <f>an!C$18*100/(100-an!C$20)</f>
        <v>16.105719595292175</v>
      </c>
      <c r="D3" s="119">
        <f>an!D$18*100/(100-an!D$20)</f>
        <v>16.390041493775932</v>
      </c>
      <c r="E3" s="119">
        <f>an!E$18*100/(100-an!E$20)</f>
        <v>17.004048582995953</v>
      </c>
      <c r="F3" s="119">
        <f>an!F$18*100/(100-an!F$20)</f>
        <v>16.105719595292175</v>
      </c>
      <c r="G3" s="119">
        <f>an!G$18*100/(100-an!G$20)</f>
        <v>0</v>
      </c>
      <c r="H3" s="119">
        <f>an!H$18*100/(100-an!H$20)</f>
        <v>0</v>
      </c>
      <c r="I3" s="119">
        <f>an!I$18*100/(100-an!I$20)</f>
        <v>0</v>
      </c>
      <c r="J3" s="119">
        <f>an!J$18*100/(100-an!J$20)</f>
        <v>0</v>
      </c>
      <c r="K3" s="119">
        <f>an!K$18*100/(100-an!K$20)</f>
        <v>0</v>
      </c>
      <c r="L3" s="119">
        <f>an!L$18*100/(100-an!L$20)</f>
        <v>0</v>
      </c>
      <c r="M3" s="119">
        <f>an!M$18*100/(100-an!M$20)</f>
        <v>0</v>
      </c>
      <c r="N3" s="119">
        <f>an!N$18*100/(100-an!N$20)</f>
        <v>0</v>
      </c>
      <c r="O3" s="119">
        <f>an!O$18*100/(100-an!O$20)</f>
        <v>0</v>
      </c>
      <c r="P3" s="119">
        <f>an!P$18*100/(100-an!P$20)</f>
        <v>0</v>
      </c>
      <c r="Q3" s="119">
        <f>an!Q$18*100/(100-an!Q$20)</f>
        <v>0</v>
      </c>
      <c r="R3" s="119">
        <f>an!R$18*100/(100-an!R$20)</f>
        <v>0</v>
      </c>
      <c r="S3" s="119">
        <f>an!S$18*100/(100-an!S$20)</f>
        <v>0</v>
      </c>
      <c r="T3" s="119">
        <f>an!T$18*100/(100-an!T$20)</f>
        <v>0</v>
      </c>
      <c r="U3" s="119">
        <f>an!U$18*100/(100-an!U$20)</f>
        <v>0</v>
      </c>
      <c r="V3" s="119">
        <f>an!V$18*100/(100-an!V$20)</f>
        <v>0</v>
      </c>
      <c r="W3" s="119">
        <f>an!W$18*100/(100-an!W$20)</f>
        <v>0</v>
      </c>
      <c r="X3" s="119">
        <f>an!X$18*100/(100-an!X$20)</f>
        <v>0</v>
      </c>
      <c r="Y3" s="119">
        <f>an!Y$18*100/(100-an!Y$20)</f>
        <v>0</v>
      </c>
      <c r="Z3" s="119">
        <f>an!Z$18*100/(100-an!Z$20)</f>
        <v>0</v>
      </c>
    </row>
    <row r="4" spans="1:26" s="2" customFormat="1" ht="12.75" customHeight="1" x14ac:dyDescent="0.2">
      <c r="B4" s="7" t="s">
        <v>77</v>
      </c>
      <c r="C4" s="119">
        <f>an!C$21*100/(100-an!C$20)</f>
        <v>48.213916993599007</v>
      </c>
      <c r="D4" s="119">
        <f>an!D$21*100/(100-an!D$20)</f>
        <v>50.31120331950207</v>
      </c>
      <c r="E4" s="119">
        <f>an!E$21*100/(100-an!E$20)</f>
        <v>44.12955465587045</v>
      </c>
      <c r="F4" s="119">
        <f>an!F$21*100/(100-an!F$20)</f>
        <v>48.213916993599007</v>
      </c>
      <c r="G4" s="119">
        <f>an!G$21*100/(100-an!G$20)</f>
        <v>86.698866397732786</v>
      </c>
      <c r="H4" s="119">
        <f>an!H$21*100/(100-an!H$20)</f>
        <v>86.699816399632795</v>
      </c>
      <c r="I4" s="119">
        <f>an!I$21*100/(100-an!I$20)</f>
        <v>71.606999106940236</v>
      </c>
      <c r="J4" s="119">
        <f>an!J$21*100/(100-an!J$20)</f>
        <v>81.917058649682616</v>
      </c>
      <c r="K4" s="119">
        <f>an!K$21*100/(100-an!K$20)</f>
        <v>0</v>
      </c>
      <c r="L4" s="119">
        <f>an!L$21*100/(100-an!L$20)</f>
        <v>0</v>
      </c>
      <c r="M4" s="119">
        <f>an!M$21*100/(100-an!M$20)</f>
        <v>0</v>
      </c>
      <c r="N4" s="119">
        <f>an!N$21*100/(100-an!N$20)</f>
        <v>0</v>
      </c>
      <c r="O4" s="119">
        <f>an!O$21*100/(100-an!O$20)</f>
        <v>0</v>
      </c>
      <c r="P4" s="119">
        <f>an!P$21*100/(100-an!P$20)</f>
        <v>0</v>
      </c>
      <c r="Q4" s="119">
        <f>an!Q$21*100/(100-an!Q$20)</f>
        <v>0</v>
      </c>
      <c r="R4" s="119">
        <f>an!R$21*100/(100-an!R$20)</f>
        <v>0</v>
      </c>
      <c r="S4" s="119">
        <f>an!S$21*100/(100-an!S$20)</f>
        <v>0</v>
      </c>
      <c r="T4" s="119">
        <f>an!T$21*100/(100-an!T$20)</f>
        <v>0</v>
      </c>
      <c r="U4" s="119">
        <f>an!U$21*100/(100-an!U$20)</f>
        <v>0</v>
      </c>
      <c r="V4" s="119">
        <f>an!V$21*100/(100-an!V$20)</f>
        <v>0</v>
      </c>
      <c r="W4" s="119">
        <f>an!W$21*100/(100-an!W$20)</f>
        <v>0</v>
      </c>
      <c r="X4" s="119">
        <f>an!X$21*100/(100-an!X$20)</f>
        <v>0</v>
      </c>
      <c r="Y4" s="119">
        <f>an!Y$21*100/(100-an!Y$20)</f>
        <v>0</v>
      </c>
      <c r="Z4" s="119">
        <f>an!Z$21*100/(100-an!Z$20)</f>
        <v>0</v>
      </c>
    </row>
    <row r="5" spans="1:26" s="2" customFormat="1" ht="12.75" customHeight="1" x14ac:dyDescent="0.2">
      <c r="B5" s="7" t="s">
        <v>78</v>
      </c>
      <c r="C5" s="120">
        <f>IF(ISNUMBER(an!C$22),(an!C$22-an!C$20/Grundtab!$B$42*2*Grundtab!$B$32)*100/(100-an!C$20),an!C$23*100/(100-an!C$20))</f>
        <v>6.0692124712087274</v>
      </c>
      <c r="D5" s="120">
        <f>IF(ISNUMBER(an!D$22),(an!D$22-an!D$20/Grundtab!$B$42*2*Grundtab!$B$32)*100/(100-an!D$20),an!D$23*100/(100-an!D$20))</f>
        <v>5.5987198769081781</v>
      </c>
      <c r="E5" s="120">
        <f>IF(ISNUMBER(an!E$22),(an!E$22-an!E$20/Grundtab!$B$42*2*Grundtab!$B$32)*100/(100-an!E$20),an!E$23*100/(100-an!E$20))</f>
        <v>6.8883825780497592</v>
      </c>
      <c r="F5" s="120">
        <f>IF(ISNUMBER(an!F$22),(an!F$22-an!F$20/Grundtab!$B$42*2*Grundtab!$B$32)*100/(100-an!F$20),an!F$23*100/(100-an!F$20))</f>
        <v>6.0692124712087274</v>
      </c>
      <c r="G5" s="120">
        <f>IF(ISNUMBER(an!G$22),(an!G$22-an!G$20/Grundtab!$B$42*2*Grundtab!$B$32)*100/(100-an!G$20),an!G$23*100/(100-an!G$20))</f>
        <v>13.300004220339627</v>
      </c>
      <c r="H5" s="120">
        <f>IF(ISNUMBER(an!H$22),(an!H$22-an!H$20/Grundtab!$B$42*2*Grundtab!$B$32)*100/(100-an!H$20),an!H$23*100/(100-an!H$20))</f>
        <v>13.300004220339627</v>
      </c>
      <c r="I5" s="120">
        <f>IF(ISNUMBER(an!I$22),(an!I$22-an!I$20/Grundtab!$B$42*2*Grundtab!$B$32)*100/(100-an!I$20),an!I$23*100/(100-an!I$20))</f>
        <v>25.251202348831356</v>
      </c>
      <c r="J5" s="120">
        <f>IF(ISNUMBER(an!J$22),(an!J$22-an!J$20/Grundtab!$B$42*2*Grundtab!$B$32)*100/(100-an!J$20),an!J$23*100/(100-an!J$20))</f>
        <v>18.082577138742039</v>
      </c>
      <c r="K5" s="120">
        <f>IF(ISNUMBER(an!K$22),(an!K$22-an!K$20/Grundtab!$B$42*2*Grundtab!$B$32)*100/(100-an!K$20),an!K$23*100/(100-an!K$20))</f>
        <v>0</v>
      </c>
      <c r="L5" s="120">
        <f>IF(ISNUMBER(an!L$22),(an!L$22-an!L$20/Grundtab!$B$42*2*Grundtab!$B$32)*100/(100-an!L$20),an!L$23*100/(100-an!L$20))</f>
        <v>0</v>
      </c>
      <c r="M5" s="120">
        <f>IF(ISNUMBER(an!M$22),(an!M$22-an!M$20/Grundtab!$B$42*2*Grundtab!$B$32)*100/(100-an!M$20),an!M$23*100/(100-an!M$20))</f>
        <v>0</v>
      </c>
      <c r="N5" s="120">
        <f>IF(ISNUMBER(an!N$22),(an!N$22-an!N$20/Grundtab!$B$42*2*Grundtab!$B$32)*100/(100-an!N$20),an!N$23*100/(100-an!N$20))</f>
        <v>0</v>
      </c>
      <c r="O5" s="120">
        <f>IF(ISNUMBER(an!O$22),(an!O$22-an!O$20/Grundtab!$B$42*2*Grundtab!$B$32)*100/(100-an!O$20),an!O$23*100/(100-an!O$20))</f>
        <v>0</v>
      </c>
      <c r="P5" s="120">
        <f>IF(ISNUMBER(an!P$22),(an!P$22-an!P$20/Grundtab!$B$42*2*Grundtab!$B$32)*100/(100-an!P$20),an!P$23*100/(100-an!P$20))</f>
        <v>0</v>
      </c>
      <c r="Q5" s="120">
        <f>IF(ISNUMBER(an!Q$22),(an!Q$22-an!Q$20/Grundtab!$B$42*2*Grundtab!$B$32)*100/(100-an!Q$20),an!Q$23*100/(100-an!Q$20))</f>
        <v>0</v>
      </c>
      <c r="R5" s="120">
        <f>IF(ISNUMBER(an!R$22),(an!R$22-an!R$20/Grundtab!$B$42*2*Grundtab!$B$32)*100/(100-an!R$20),an!R$23*100/(100-an!R$20))</f>
        <v>0</v>
      </c>
      <c r="S5" s="120">
        <f>IF(ISNUMBER(an!S$22),(an!S$22-an!S$20/Grundtab!$B$42*2*Grundtab!$B$32)*100/(100-an!S$20),an!S$23*100/(100-an!S$20))</f>
        <v>0</v>
      </c>
      <c r="T5" s="120">
        <f>IF(ISNUMBER(an!T$22),(an!T$22-an!T$20/Grundtab!$B$42*2*Grundtab!$B$32)*100/(100-an!T$20),an!T$23*100/(100-an!T$20))</f>
        <v>0</v>
      </c>
      <c r="U5" s="120">
        <f>IF(ISNUMBER(an!U$22),(an!U$22-an!U$20/Grundtab!$B$42*2*Grundtab!$B$32)*100/(100-an!U$20),an!U$23*100/(100-an!U$20))</f>
        <v>0</v>
      </c>
      <c r="V5" s="120">
        <f>IF(ISNUMBER(an!V$22),(an!V$22-an!V$20/Grundtab!$B$42*2*Grundtab!$B$32)*100/(100-an!V$20),an!V$23*100/(100-an!V$20))</f>
        <v>0</v>
      </c>
      <c r="W5" s="120">
        <f>IF(ISNUMBER(an!W$22),(an!W$22-an!W$20/Grundtab!$B$42*2*Grundtab!$B$32)*100/(100-an!W$20),an!W$23*100/(100-an!W$20))</f>
        <v>0</v>
      </c>
      <c r="X5" s="120">
        <f>IF(ISNUMBER(an!X$22),(an!X$22-an!X$20/Grundtab!$B$42*2*Grundtab!$B$32)*100/(100-an!X$20),an!X$23*100/(100-an!X$20))</f>
        <v>0</v>
      </c>
      <c r="Y5" s="120">
        <f>IF(ISNUMBER(an!Y$22),(an!Y$22-an!Y$20/Grundtab!$B$42*2*Grundtab!$B$32)*100/(100-an!Y$20),an!Y$23*100/(100-an!Y$20))</f>
        <v>0</v>
      </c>
      <c r="Z5" s="120">
        <f>IF(ISNUMBER(an!Z$22),(an!Z$22-an!Z$20/Grundtab!$B$42*2*Grundtab!$B$32)*100/(100-an!Z$20),an!Z$23*100/(100-an!Z$20))</f>
        <v>0</v>
      </c>
    </row>
    <row r="6" spans="1:26" s="2" customFormat="1" ht="12.75" customHeight="1" x14ac:dyDescent="0.2">
      <c r="B6" s="7" t="s">
        <v>79</v>
      </c>
      <c r="C6" s="119">
        <f>100-(C$4+C$5+C$7+C$8+C$9+C$10)</f>
        <v>44.44699649017884</v>
      </c>
      <c r="D6" s="119">
        <f t="shared" ref="D6:Z6" si="0">100-(D$4+D$5+D$7+D$8+D$9+D$10)</f>
        <v>43.540284272469421</v>
      </c>
      <c r="E6" s="119">
        <f t="shared" si="0"/>
        <v>37.565058717496804</v>
      </c>
      <c r="F6" s="119">
        <f t="shared" si="0"/>
        <v>44.323106339445822</v>
      </c>
      <c r="G6" s="119">
        <f t="shared" si="0"/>
        <v>2.2379713584541605E-5</v>
      </c>
      <c r="H6" s="119">
        <f t="shared" si="0"/>
        <v>2.237971357033075E-5</v>
      </c>
      <c r="I6" s="119">
        <f t="shared" si="0"/>
        <v>0</v>
      </c>
      <c r="J6" s="119">
        <f t="shared" si="0"/>
        <v>3.6421157534505255E-4</v>
      </c>
      <c r="K6" s="119">
        <f t="shared" si="0"/>
        <v>100</v>
      </c>
      <c r="L6" s="119">
        <f t="shared" si="0"/>
        <v>100</v>
      </c>
      <c r="M6" s="119">
        <f t="shared" si="0"/>
        <v>100</v>
      </c>
      <c r="N6" s="119">
        <f t="shared" si="0"/>
        <v>100</v>
      </c>
      <c r="O6" s="119">
        <f t="shared" si="0"/>
        <v>100</v>
      </c>
      <c r="P6" s="119">
        <f t="shared" si="0"/>
        <v>100</v>
      </c>
      <c r="Q6" s="119">
        <f t="shared" si="0"/>
        <v>100</v>
      </c>
      <c r="R6" s="119">
        <f t="shared" si="0"/>
        <v>100</v>
      </c>
      <c r="S6" s="119">
        <f t="shared" si="0"/>
        <v>100</v>
      </c>
      <c r="T6" s="119">
        <f t="shared" si="0"/>
        <v>100</v>
      </c>
      <c r="U6" s="119">
        <f t="shared" si="0"/>
        <v>100</v>
      </c>
      <c r="V6" s="119">
        <f t="shared" si="0"/>
        <v>100</v>
      </c>
      <c r="W6" s="119">
        <f t="shared" si="0"/>
        <v>100</v>
      </c>
      <c r="X6" s="119">
        <f t="shared" si="0"/>
        <v>100</v>
      </c>
      <c r="Y6" s="119">
        <f t="shared" si="0"/>
        <v>100</v>
      </c>
      <c r="Z6" s="119">
        <f t="shared" si="0"/>
        <v>100</v>
      </c>
    </row>
    <row r="7" spans="1:26" s="2" customFormat="1" ht="12.75" customHeight="1" x14ac:dyDescent="0.2">
      <c r="B7" s="7" t="s">
        <v>80</v>
      </c>
      <c r="C7" s="119">
        <f>an!C$24*100/(100-an!C$20)</f>
        <v>0</v>
      </c>
      <c r="D7" s="119">
        <f>an!D$24*100/(100-an!D$20)</f>
        <v>0.10373443983402489</v>
      </c>
      <c r="E7" s="119">
        <f>an!E$24*100/(100-an!E$20)</f>
        <v>1.3663967611336032</v>
      </c>
      <c r="F7" s="119">
        <f>an!F$24*100/(100-an!F$20)</f>
        <v>0.10324179227751394</v>
      </c>
      <c r="G7" s="119">
        <f>an!G$24*100/(100-an!G$20)</f>
        <v>7.0000140000280002E-6</v>
      </c>
      <c r="H7" s="119">
        <f>an!H$24*100/(100-an!H$20)</f>
        <v>7.0000140000280002E-6</v>
      </c>
      <c r="I7" s="119">
        <f>an!I$24*100/(100-an!I$20)</f>
        <v>3.1417985442284078</v>
      </c>
      <c r="J7" s="119">
        <f>an!J$24*100/(100-an!J$20)</f>
        <v>0</v>
      </c>
      <c r="K7" s="119">
        <f>an!K$24*100/(100-an!K$20)</f>
        <v>0</v>
      </c>
      <c r="L7" s="119">
        <f>an!L$24*100/(100-an!L$20)</f>
        <v>0</v>
      </c>
      <c r="M7" s="119">
        <f>an!M$24*100/(100-an!M$20)</f>
        <v>0</v>
      </c>
      <c r="N7" s="119">
        <f>an!N$24*100/(100-an!N$20)</f>
        <v>0</v>
      </c>
      <c r="O7" s="119">
        <f>an!O$24*100/(100-an!O$20)</f>
        <v>0</v>
      </c>
      <c r="P7" s="119">
        <f>an!P$24*100/(100-an!P$20)</f>
        <v>0</v>
      </c>
      <c r="Q7" s="119">
        <f>an!Q$24*100/(100-an!Q$20)</f>
        <v>0</v>
      </c>
      <c r="R7" s="119">
        <f>an!R$24*100/(100-an!R$20)</f>
        <v>0</v>
      </c>
      <c r="S7" s="119">
        <f>an!S$24*100/(100-an!S$20)</f>
        <v>0</v>
      </c>
      <c r="T7" s="119">
        <f>an!T$24*100/(100-an!T$20)</f>
        <v>0</v>
      </c>
      <c r="U7" s="119">
        <f>an!U$24*100/(100-an!U$20)</f>
        <v>0</v>
      </c>
      <c r="V7" s="119">
        <f>an!V$24*100/(100-an!V$20)</f>
        <v>0</v>
      </c>
      <c r="W7" s="119">
        <f>an!W$24*100/(100-an!W$20)</f>
        <v>0</v>
      </c>
      <c r="X7" s="119">
        <f>an!X$24*100/(100-an!X$20)</f>
        <v>0</v>
      </c>
      <c r="Y7" s="119">
        <f>an!Y$24*100/(100-an!Y$20)</f>
        <v>0</v>
      </c>
      <c r="Z7" s="119">
        <f>an!Z$24*100/(100-an!Z$20)</f>
        <v>0</v>
      </c>
    </row>
    <row r="8" spans="1:26" s="2" customFormat="1" ht="12.75" customHeight="1" x14ac:dyDescent="0.2">
      <c r="B8" s="7" t="s">
        <v>81</v>
      </c>
      <c r="C8" s="119">
        <f>an!C$25*100/(100-an!C$20)</f>
        <v>0</v>
      </c>
      <c r="D8" s="119">
        <f>an!D$25*100/(100-an!D$20)</f>
        <v>0</v>
      </c>
      <c r="E8" s="119">
        <f>an!E$25*100/(100-an!E$20)</f>
        <v>0.17206477732793524</v>
      </c>
      <c r="F8" s="119">
        <f>an!F$25*100/(100-an!F$20)</f>
        <v>1.0324179227751393E-2</v>
      </c>
      <c r="G8" s="119">
        <f>an!G$25*100/(100-an!G$20)</f>
        <v>1.0000020000040001E-3</v>
      </c>
      <c r="H8" s="119">
        <f>an!H$25*100/(100-an!H$20)</f>
        <v>5.0000100000200004E-5</v>
      </c>
      <c r="I8" s="119">
        <f>an!I$25*100/(100-an!I$20)</f>
        <v>0</v>
      </c>
      <c r="J8" s="119">
        <f>an!J$25*100/(100-an!J$20)</f>
        <v>0</v>
      </c>
      <c r="K8" s="119">
        <f>an!K$25*100/(100-an!K$20)</f>
        <v>0</v>
      </c>
      <c r="L8" s="119">
        <f>an!L$25*100/(100-an!L$20)</f>
        <v>0</v>
      </c>
      <c r="M8" s="119">
        <f>an!M$25*100/(100-an!M$20)</f>
        <v>0</v>
      </c>
      <c r="N8" s="119">
        <f>an!N$25*100/(100-an!N$20)</f>
        <v>0</v>
      </c>
      <c r="O8" s="119">
        <f>an!O$25*100/(100-an!O$20)</f>
        <v>0</v>
      </c>
      <c r="P8" s="119">
        <f>an!P$25*100/(100-an!P$20)</f>
        <v>0</v>
      </c>
      <c r="Q8" s="119">
        <f>an!Q$25*100/(100-an!Q$20)</f>
        <v>0</v>
      </c>
      <c r="R8" s="119">
        <f>an!R$25*100/(100-an!R$20)</f>
        <v>0</v>
      </c>
      <c r="S8" s="119">
        <f>an!S$25*100/(100-an!S$20)</f>
        <v>0</v>
      </c>
      <c r="T8" s="119">
        <f>an!T$25*100/(100-an!T$20)</f>
        <v>0</v>
      </c>
      <c r="U8" s="119">
        <f>an!U$25*100/(100-an!U$20)</f>
        <v>0</v>
      </c>
      <c r="V8" s="119">
        <f>an!V$25*100/(100-an!V$20)</f>
        <v>0</v>
      </c>
      <c r="W8" s="119">
        <f>an!W$25*100/(100-an!W$20)</f>
        <v>0</v>
      </c>
      <c r="X8" s="119">
        <f>an!X$25*100/(100-an!X$20)</f>
        <v>0</v>
      </c>
      <c r="Y8" s="119">
        <f>an!Y$25*100/(100-an!Y$20)</f>
        <v>0</v>
      </c>
      <c r="Z8" s="119">
        <f>an!Z$25*100/(100-an!Z$20)</f>
        <v>0</v>
      </c>
    </row>
    <row r="9" spans="1:26" s="2" customFormat="1" ht="12.75" customHeight="1" x14ac:dyDescent="0.2">
      <c r="B9" s="7" t="s">
        <v>82</v>
      </c>
      <c r="C9" s="119">
        <f>an!C$26*100/(100-an!C$20)</f>
        <v>0</v>
      </c>
      <c r="D9" s="119">
        <f>an!D$26*100/(100-an!D$20)</f>
        <v>0</v>
      </c>
      <c r="E9" s="119">
        <f>an!E$26*100/(100-an!E$20)</f>
        <v>0.37449392712550611</v>
      </c>
      <c r="F9" s="119">
        <f>an!F$26*100/(100-an!F$20)</f>
        <v>1.0324179227751393E-2</v>
      </c>
      <c r="G9" s="119">
        <f>an!G$26*100/(100-an!G$20)</f>
        <v>0</v>
      </c>
      <c r="H9" s="119">
        <f>an!H$26*100/(100-an!H$20)</f>
        <v>0</v>
      </c>
      <c r="I9" s="119">
        <f>an!I$26*100/(100-an!I$20)</f>
        <v>0</v>
      </c>
      <c r="J9" s="119">
        <f>an!J$26*100/(100-an!J$20)</f>
        <v>0</v>
      </c>
      <c r="K9" s="119">
        <f>an!K$26*100/(100-an!K$20)</f>
        <v>0</v>
      </c>
      <c r="L9" s="119">
        <f>an!L$26*100/(100-an!L$20)</f>
        <v>0</v>
      </c>
      <c r="M9" s="119">
        <f>an!M$26*100/(100-an!M$20)</f>
        <v>0</v>
      </c>
      <c r="N9" s="119">
        <f>an!N$26*100/(100-an!N$20)</f>
        <v>0</v>
      </c>
      <c r="O9" s="119">
        <f>an!O$26*100/(100-an!O$20)</f>
        <v>0</v>
      </c>
      <c r="P9" s="119">
        <f>an!P$26*100/(100-an!P$20)</f>
        <v>0</v>
      </c>
      <c r="Q9" s="119">
        <f>an!Q$26*100/(100-an!Q$20)</f>
        <v>0</v>
      </c>
      <c r="R9" s="119">
        <f>an!R$26*100/(100-an!R$20)</f>
        <v>0</v>
      </c>
      <c r="S9" s="119">
        <f>an!S$26*100/(100-an!S$20)</f>
        <v>0</v>
      </c>
      <c r="T9" s="119">
        <f>an!T$26*100/(100-an!T$20)</f>
        <v>0</v>
      </c>
      <c r="U9" s="119">
        <f>an!U$26*100/(100-an!U$20)</f>
        <v>0</v>
      </c>
      <c r="V9" s="119">
        <f>an!V$26*100/(100-an!V$20)</f>
        <v>0</v>
      </c>
      <c r="W9" s="119">
        <f>an!W$26*100/(100-an!W$20)</f>
        <v>0</v>
      </c>
      <c r="X9" s="119">
        <f>an!X$26*100/(100-an!X$20)</f>
        <v>0</v>
      </c>
      <c r="Y9" s="119">
        <f>an!Y$26*100/(100-an!Y$20)</f>
        <v>0</v>
      </c>
      <c r="Z9" s="119">
        <f>an!Z$26*100/(100-an!Z$20)</f>
        <v>0</v>
      </c>
    </row>
    <row r="10" spans="1:26" s="2" customFormat="1" ht="12.75" customHeight="1" x14ac:dyDescent="0.2">
      <c r="B10" s="7" t="s">
        <v>83</v>
      </c>
      <c r="C10" s="119">
        <f>an!C$27*100/(100-an!C$20)</f>
        <v>1.2698740450134214</v>
      </c>
      <c r="D10" s="119">
        <f>an!D$27*100/(100-an!D$20)</f>
        <v>0.44605809128630702</v>
      </c>
      <c r="E10" s="119">
        <f>an!E$27*100/(100-an!E$20)</f>
        <v>9.5040485829959511</v>
      </c>
      <c r="F10" s="119">
        <f>an!F$27*100/(100-an!F$20)</f>
        <v>1.2698740450134214</v>
      </c>
      <c r="G10" s="119">
        <f>an!G$27*100/(100-an!G$20)</f>
        <v>1.0000020000040001E-4</v>
      </c>
      <c r="H10" s="119">
        <f>an!H$27*100/(100-an!H$20)</f>
        <v>1.0000020000040001E-4</v>
      </c>
      <c r="I10" s="119">
        <f>an!I$27*100/(100-an!I$20)</f>
        <v>0</v>
      </c>
      <c r="J10" s="119">
        <f>an!J$27*100/(100-an!J$20)</f>
        <v>0</v>
      </c>
      <c r="K10" s="119">
        <f>an!K$27*100/(100-an!K$20)</f>
        <v>0</v>
      </c>
      <c r="L10" s="119">
        <f>an!L$27*100/(100-an!L$20)</f>
        <v>0</v>
      </c>
      <c r="M10" s="119">
        <f>an!M$27*100/(100-an!M$20)</f>
        <v>0</v>
      </c>
      <c r="N10" s="119">
        <f>an!N$27*100/(100-an!N$20)</f>
        <v>0</v>
      </c>
      <c r="O10" s="119">
        <f>an!O$27*100/(100-an!O$20)</f>
        <v>0</v>
      </c>
      <c r="P10" s="119">
        <f>an!P$27*100/(100-an!P$20)</f>
        <v>0</v>
      </c>
      <c r="Q10" s="119">
        <f>an!Q$27*100/(100-an!Q$20)</f>
        <v>0</v>
      </c>
      <c r="R10" s="119">
        <f>an!R$27*100/(100-an!R$20)</f>
        <v>0</v>
      </c>
      <c r="S10" s="119">
        <f>an!S$27*100/(100-an!S$20)</f>
        <v>0</v>
      </c>
      <c r="T10" s="119">
        <f>an!T$27*100/(100-an!T$20)</f>
        <v>0</v>
      </c>
      <c r="U10" s="119">
        <f>an!U$27*100/(100-an!U$20)</f>
        <v>0</v>
      </c>
      <c r="V10" s="119">
        <f>an!V$27*100/(100-an!V$20)</f>
        <v>0</v>
      </c>
      <c r="W10" s="119">
        <f>an!W$27*100/(100-an!W$20)</f>
        <v>0</v>
      </c>
      <c r="X10" s="119">
        <f>an!X$27*100/(100-an!X$20)</f>
        <v>0</v>
      </c>
      <c r="Y10" s="119">
        <f>an!Y$27*100/(100-an!Y$20)</f>
        <v>0</v>
      </c>
      <c r="Z10" s="119">
        <f>an!Z$27*100/(100-an!Z$20)</f>
        <v>0</v>
      </c>
    </row>
    <row r="11" spans="1:26" s="2" customFormat="1" ht="12.75" customHeight="1" x14ac:dyDescent="0.2">
      <c r="B11" s="7" t="s">
        <v>7</v>
      </c>
      <c r="C11" s="119">
        <f>SUM(C4:C10)</f>
        <v>100</v>
      </c>
      <c r="D11" s="119">
        <f t="shared" ref="D11:Z11" si="1">SUM(D4:D10)</f>
        <v>100</v>
      </c>
      <c r="E11" s="119">
        <f t="shared" si="1"/>
        <v>100</v>
      </c>
      <c r="F11" s="119">
        <f t="shared" si="1"/>
        <v>100</v>
      </c>
      <c r="G11" s="119">
        <f t="shared" si="1"/>
        <v>100</v>
      </c>
      <c r="H11" s="119">
        <f t="shared" si="1"/>
        <v>100</v>
      </c>
      <c r="I11" s="119">
        <f t="shared" si="1"/>
        <v>100</v>
      </c>
      <c r="J11" s="119">
        <f t="shared" si="1"/>
        <v>100</v>
      </c>
      <c r="K11" s="119">
        <f t="shared" si="1"/>
        <v>100</v>
      </c>
      <c r="L11" s="119">
        <f t="shared" si="1"/>
        <v>100</v>
      </c>
      <c r="M11" s="119">
        <f t="shared" si="1"/>
        <v>100</v>
      </c>
      <c r="N11" s="119">
        <f t="shared" si="1"/>
        <v>100</v>
      </c>
      <c r="O11" s="119">
        <f t="shared" si="1"/>
        <v>100</v>
      </c>
      <c r="P11" s="119">
        <f t="shared" si="1"/>
        <v>100</v>
      </c>
      <c r="Q11" s="119">
        <f t="shared" si="1"/>
        <v>100</v>
      </c>
      <c r="R11" s="119">
        <f t="shared" si="1"/>
        <v>100</v>
      </c>
      <c r="S11" s="119">
        <f t="shared" si="1"/>
        <v>100</v>
      </c>
      <c r="T11" s="119">
        <f t="shared" si="1"/>
        <v>100</v>
      </c>
      <c r="U11" s="119">
        <f t="shared" si="1"/>
        <v>100</v>
      </c>
      <c r="V11" s="119">
        <f t="shared" si="1"/>
        <v>100</v>
      </c>
      <c r="W11" s="119">
        <f t="shared" si="1"/>
        <v>100</v>
      </c>
      <c r="X11" s="119">
        <f t="shared" si="1"/>
        <v>100</v>
      </c>
      <c r="Y11" s="119">
        <f t="shared" si="1"/>
        <v>100</v>
      </c>
      <c r="Z11" s="119">
        <f t="shared" si="1"/>
        <v>100</v>
      </c>
    </row>
    <row r="12" spans="1:26" s="2" customFormat="1" ht="30" customHeight="1" x14ac:dyDescent="0.2">
      <c r="A12" s="194" t="s">
        <v>189</v>
      </c>
      <c r="B12" s="195"/>
    </row>
    <row r="13" spans="1:26" s="2" customFormat="1" x14ac:dyDescent="0.2">
      <c r="B13" s="7" t="s">
        <v>16</v>
      </c>
      <c r="C13" s="8">
        <f>an!C$19*100/(100-an!C$20)</f>
        <v>18794.135866198638</v>
      </c>
      <c r="D13" s="8">
        <f>an!D$19*100/(100-an!D$20)</f>
        <v>19769.709543568464</v>
      </c>
      <c r="E13" s="8">
        <f>an!E$19*100/(100-an!E$20)</f>
        <v>17803.643724696358</v>
      </c>
      <c r="F13" s="8">
        <f>an!F$19*100/(100-an!F$20)</f>
        <v>18794.135866198638</v>
      </c>
      <c r="G13" s="8">
        <f>an!G$19*100/(100-an!G$20)</f>
        <v>45400.090800181606</v>
      </c>
      <c r="H13" s="8">
        <f>an!H$19*100/(100-an!H$20)</f>
        <v>45400.090800181606</v>
      </c>
      <c r="I13" s="8">
        <f>an!I$19*100/(100-an!I$20)</f>
        <v>52086.075949367092</v>
      </c>
      <c r="J13" s="8">
        <f>an!J$19*100/(100-an!J$20)</f>
        <v>50253.114100647726</v>
      </c>
      <c r="K13" s="8">
        <f>an!K$19*100/(100-an!K$20)</f>
        <v>0</v>
      </c>
      <c r="L13" s="8">
        <f>an!L$19*100/(100-an!L$20)</f>
        <v>0</v>
      </c>
      <c r="M13" s="8">
        <f>an!M$19*100/(100-an!M$20)</f>
        <v>0</v>
      </c>
      <c r="N13" s="8">
        <f>an!N$19*100/(100-an!N$20)</f>
        <v>0</v>
      </c>
      <c r="O13" s="8">
        <f>an!O$19*100/(100-an!O$20)</f>
        <v>0</v>
      </c>
      <c r="P13" s="8">
        <f>an!P$19*100/(100-an!P$20)</f>
        <v>0</v>
      </c>
      <c r="Q13" s="8">
        <f>an!Q$19*100/(100-an!Q$20)</f>
        <v>0</v>
      </c>
      <c r="R13" s="8">
        <f>an!R$19*100/(100-an!R$20)</f>
        <v>0</v>
      </c>
      <c r="S13" s="8">
        <f>an!S$19*100/(100-an!S$20)</f>
        <v>0</v>
      </c>
      <c r="T13" s="8">
        <f>an!T$19*100/(100-an!T$20)</f>
        <v>0</v>
      </c>
      <c r="U13" s="8">
        <f>an!U$19*100/(100-an!U$20)</f>
        <v>0</v>
      </c>
      <c r="V13" s="8">
        <f>an!V$19*100/(100-an!V$20)</f>
        <v>0</v>
      </c>
      <c r="W13" s="8">
        <f>an!W$19*100/(100-an!W$20)</f>
        <v>0</v>
      </c>
      <c r="X13" s="8">
        <f>an!X$19*100/(100-an!X$20)</f>
        <v>0</v>
      </c>
      <c r="Y13" s="8">
        <f>an!Y$19*100/(100-an!Y$20)</f>
        <v>0</v>
      </c>
      <c r="Z13" s="8">
        <f>an!Z$19*100/(100-an!Z$20)</f>
        <v>0</v>
      </c>
    </row>
    <row r="14" spans="1:26" x14ac:dyDescent="0.2">
      <c r="B14" s="7" t="s">
        <v>17</v>
      </c>
      <c r="C14" s="121">
        <f>C$13-212.1*C$5-0.8*(C$6+C$7)</f>
        <v>17471.298303863125</v>
      </c>
      <c r="D14" s="121">
        <f t="shared" ref="D14:Z14" si="2">D$13-212.1*D$5-0.8*(D$6+D$7)</f>
        <v>18547.305842706399</v>
      </c>
      <c r="E14" s="121">
        <f t="shared" si="2"/>
        <v>16311.472615509099</v>
      </c>
      <c r="F14" s="121">
        <f t="shared" si="2"/>
        <v>17471.314822549888</v>
      </c>
      <c r="G14" s="121">
        <f t="shared" si="2"/>
        <v>42579.15988154379</v>
      </c>
      <c r="H14" s="121">
        <f t="shared" si="2"/>
        <v>42579.15988154379</v>
      </c>
      <c r="I14" s="121">
        <f t="shared" si="2"/>
        <v>46727.782492344581</v>
      </c>
      <c r="J14" s="121">
        <f t="shared" si="2"/>
        <v>46417.799198151282</v>
      </c>
      <c r="K14" s="121">
        <f t="shared" si="2"/>
        <v>-80</v>
      </c>
      <c r="L14" s="121">
        <f t="shared" si="2"/>
        <v>-80</v>
      </c>
      <c r="M14" s="121">
        <f t="shared" si="2"/>
        <v>-80</v>
      </c>
      <c r="N14" s="121">
        <f t="shared" si="2"/>
        <v>-80</v>
      </c>
      <c r="O14" s="121">
        <f t="shared" si="2"/>
        <v>-80</v>
      </c>
      <c r="P14" s="121">
        <f t="shared" si="2"/>
        <v>-80</v>
      </c>
      <c r="Q14" s="121">
        <f t="shared" si="2"/>
        <v>-80</v>
      </c>
      <c r="R14" s="121">
        <f t="shared" si="2"/>
        <v>-80</v>
      </c>
      <c r="S14" s="121">
        <f t="shared" si="2"/>
        <v>-80</v>
      </c>
      <c r="T14" s="121">
        <f t="shared" si="2"/>
        <v>-80</v>
      </c>
      <c r="U14" s="121">
        <f t="shared" si="2"/>
        <v>-80</v>
      </c>
      <c r="V14" s="121">
        <f t="shared" si="2"/>
        <v>-80</v>
      </c>
      <c r="W14" s="121">
        <f t="shared" si="2"/>
        <v>-80</v>
      </c>
      <c r="X14" s="121">
        <f t="shared" si="2"/>
        <v>-80</v>
      </c>
      <c r="Y14" s="121">
        <f t="shared" si="2"/>
        <v>-80</v>
      </c>
      <c r="Z14" s="121">
        <f t="shared" si="2"/>
        <v>-80</v>
      </c>
    </row>
  </sheetData>
  <mergeCells count="2">
    <mergeCell ref="A1:B1"/>
    <mergeCell ref="A12:B12"/>
  </mergeCell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4"/>
  <sheetViews>
    <sheetView workbookViewId="0">
      <selection sqref="A1:B1"/>
    </sheetView>
  </sheetViews>
  <sheetFormatPr baseColWidth="10" defaultColWidth="11.42578125" defaultRowHeight="12.75" x14ac:dyDescent="0.2"/>
  <cols>
    <col min="1" max="1" width="4.28515625" style="50" customWidth="1"/>
    <col min="2" max="2" width="25" style="50" customWidth="1"/>
    <col min="3" max="26" width="11.42578125" style="50" customWidth="1"/>
    <col min="27" max="16384" width="11.42578125" style="50"/>
  </cols>
  <sheetData>
    <row r="1" spans="1:26" s="2" customFormat="1" ht="30" customHeight="1" x14ac:dyDescent="0.2">
      <c r="A1" s="193" t="s">
        <v>190</v>
      </c>
      <c r="B1" s="19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s="2" customFormat="1" ht="12.75" customHeight="1" x14ac:dyDescent="0.2">
      <c r="B2" s="7" t="s">
        <v>74</v>
      </c>
      <c r="C2" s="119">
        <f>roh!C$10*100/(100-roh!C$19)</f>
        <v>71.710653102388832</v>
      </c>
      <c r="D2" s="119">
        <f>roh!D$10*100/(100-roh!D$19)</f>
        <v>71.933849129684404</v>
      </c>
      <c r="E2" s="119">
        <f>roh!E$10*100/(100-roh!E$19)</f>
        <v>74.335868691424224</v>
      </c>
      <c r="F2" s="119">
        <f>roh!F$10*100/(100-roh!F$19)</f>
        <v>58.094782842317969</v>
      </c>
      <c r="G2" s="119">
        <f>roh!G$10*100/(100-roh!G$19)</f>
        <v>100.00010000010001</v>
      </c>
      <c r="H2" s="119">
        <f>roh!H$10*100/(100-roh!H$19)</f>
        <v>100.00010000010001</v>
      </c>
      <c r="I2" s="119">
        <f>roh!I$10*100/(100-roh!I$19)</f>
        <v>100</v>
      </c>
      <c r="J2" s="119">
        <f>roh!J$10*100/(100-roh!J$19)</f>
        <v>99</v>
      </c>
      <c r="K2" s="119">
        <f>roh!K$10*100/(100-roh!K$19)</f>
        <v>0</v>
      </c>
      <c r="L2" s="119">
        <f>roh!L$10*100/(100-roh!L$19)</f>
        <v>0</v>
      </c>
      <c r="M2" s="119">
        <f>roh!M$10*100/(100-roh!M$19)</f>
        <v>0</v>
      </c>
      <c r="N2" s="119">
        <f>roh!N$10*100/(100-roh!N$19)</f>
        <v>0</v>
      </c>
      <c r="O2" s="119">
        <f>roh!O$10*100/(100-roh!O$19)</f>
        <v>0</v>
      </c>
      <c r="P2" s="119">
        <f>roh!P$10*100/(100-roh!P$19)</f>
        <v>0</v>
      </c>
      <c r="Q2" s="119">
        <f>roh!Q$10*100/(100-roh!Q$19)</f>
        <v>0</v>
      </c>
      <c r="R2" s="119">
        <f>roh!R$10*100/(100-roh!R$19)</f>
        <v>0</v>
      </c>
      <c r="S2" s="119">
        <f>roh!S$10*100/(100-roh!S$19)</f>
        <v>0</v>
      </c>
      <c r="T2" s="119">
        <f>roh!T$10*100/(100-roh!T$19)</f>
        <v>0</v>
      </c>
      <c r="U2" s="119">
        <f>roh!U$10*100/(100-roh!U$19)</f>
        <v>0</v>
      </c>
      <c r="V2" s="119">
        <f>roh!V$10*100/(100-roh!V$19)</f>
        <v>0</v>
      </c>
      <c r="W2" s="119">
        <f>roh!W$10*100/(100-roh!W$19)</f>
        <v>0</v>
      </c>
      <c r="X2" s="119">
        <f>roh!X$10*100/(100-roh!X$19)</f>
        <v>0</v>
      </c>
      <c r="Y2" s="119">
        <f>roh!Y$10*100/(100-roh!Y$19)</f>
        <v>0</v>
      </c>
      <c r="Z2" s="119">
        <f>roh!Z$10*100/(100-roh!Z$19)</f>
        <v>0</v>
      </c>
    </row>
    <row r="3" spans="1:26" s="2" customFormat="1" ht="12.75" customHeight="1" x14ac:dyDescent="0.2">
      <c r="B3" s="7" t="s">
        <v>75</v>
      </c>
      <c r="C3" s="119">
        <f>roh!C$11*100/(100-roh!C$19)</f>
        <v>14.036213154294426</v>
      </c>
      <c r="D3" s="119">
        <f>roh!D$11*100/(100-roh!D$19)</f>
        <v>14.171506437020119</v>
      </c>
      <c r="E3" s="119">
        <f>roh!E$11*100/(100-roh!E$19)</f>
        <v>17.201688622808913</v>
      </c>
      <c r="F3" s="119">
        <f>roh!F$11*100/(100-roh!F$19)</f>
        <v>11.371124370641912</v>
      </c>
      <c r="G3" s="119">
        <f>roh!G$11*100/(100-roh!G$19)</f>
        <v>0</v>
      </c>
      <c r="H3" s="119">
        <f>roh!H$11*100/(100-roh!H$19)</f>
        <v>0</v>
      </c>
      <c r="I3" s="119">
        <f>roh!I$11*100/(100-roh!I$19)</f>
        <v>0</v>
      </c>
      <c r="J3" s="119">
        <f>roh!J$11*100/(100-roh!J$19)</f>
        <v>0</v>
      </c>
      <c r="K3" s="119">
        <f>roh!K$11*100/(100-roh!K$19)</f>
        <v>0</v>
      </c>
      <c r="L3" s="119">
        <f>roh!L$11*100/(100-roh!L$19)</f>
        <v>0</v>
      </c>
      <c r="M3" s="119">
        <f>roh!M$11*100/(100-roh!M$19)</f>
        <v>0</v>
      </c>
      <c r="N3" s="119">
        <f>roh!N$11*100/(100-roh!N$19)</f>
        <v>0</v>
      </c>
      <c r="O3" s="119">
        <f>roh!O$11*100/(100-roh!O$19)</f>
        <v>0</v>
      </c>
      <c r="P3" s="119">
        <f>roh!P$11*100/(100-roh!P$19)</f>
        <v>0</v>
      </c>
      <c r="Q3" s="119">
        <f>roh!Q$11*100/(100-roh!Q$19)</f>
        <v>0</v>
      </c>
      <c r="R3" s="119">
        <f>roh!R$11*100/(100-roh!R$19)</f>
        <v>0</v>
      </c>
      <c r="S3" s="119">
        <f>roh!S$11*100/(100-roh!S$19)</f>
        <v>0</v>
      </c>
      <c r="T3" s="119">
        <f>roh!T$11*100/(100-roh!T$19)</f>
        <v>0</v>
      </c>
      <c r="U3" s="119">
        <f>roh!U$11*100/(100-roh!U$19)</f>
        <v>0</v>
      </c>
      <c r="V3" s="119">
        <f>roh!V$11*100/(100-roh!V$19)</f>
        <v>0</v>
      </c>
      <c r="W3" s="119">
        <f>roh!W$11*100/(100-roh!W$19)</f>
        <v>0</v>
      </c>
      <c r="X3" s="119">
        <f>roh!X$11*100/(100-roh!X$19)</f>
        <v>0</v>
      </c>
      <c r="Y3" s="119">
        <f>roh!Y$11*100/(100-roh!Y$19)</f>
        <v>0</v>
      </c>
      <c r="Z3" s="119">
        <f>roh!Z$11*100/(100-roh!Z$19)</f>
        <v>0</v>
      </c>
    </row>
    <row r="4" spans="1:26" s="2" customFormat="1" ht="12.75" customHeight="1" x14ac:dyDescent="0.2">
      <c r="B4" s="7" t="s">
        <v>71</v>
      </c>
      <c r="C4" s="119">
        <f>roh!C$12*100/(100-roh!C$19)</f>
        <v>13.956213849668206</v>
      </c>
      <c r="D4" s="119">
        <f>roh!D$12*100/(100-roh!D$19)</f>
        <v>13.921552356910073</v>
      </c>
      <c r="E4" s="119">
        <f>roh!E$12*100/(100-roh!E$19)</f>
        <v>8.4522035853961217</v>
      </c>
      <c r="F4" s="119">
        <f>roh!F$12*100/(100-roh!F$19)</f>
        <v>30.293549771507294</v>
      </c>
      <c r="G4" s="119">
        <f>roh!G$12*100/(100-roh!G$19)</f>
        <v>2.000002000002E-4</v>
      </c>
      <c r="H4" s="119">
        <f>roh!H$12*100/(100-roh!H$19)</f>
        <v>2.000002000002E-4</v>
      </c>
      <c r="I4" s="119">
        <f>roh!I$12*100/(100-roh!I$19)</f>
        <v>0</v>
      </c>
      <c r="J4" s="119">
        <f>roh!J$12*100/(100-roh!J$19)</f>
        <v>1</v>
      </c>
      <c r="K4" s="119">
        <f>roh!K$12*100/(100-roh!K$19)</f>
        <v>0</v>
      </c>
      <c r="L4" s="119">
        <f>roh!L$12*100/(100-roh!L$19)</f>
        <v>0</v>
      </c>
      <c r="M4" s="119">
        <f>roh!M$12*100/(100-roh!M$19)</f>
        <v>0</v>
      </c>
      <c r="N4" s="119">
        <f>roh!N$12*100/(100-roh!N$19)</f>
        <v>0</v>
      </c>
      <c r="O4" s="119">
        <f>roh!O$12*100/(100-roh!O$19)</f>
        <v>0</v>
      </c>
      <c r="P4" s="119">
        <f>roh!P$12*100/(100-roh!P$19)</f>
        <v>0</v>
      </c>
      <c r="Q4" s="119">
        <f>roh!Q$12*100/(100-roh!Q$19)</f>
        <v>0</v>
      </c>
      <c r="R4" s="119">
        <f>roh!R$12*100/(100-roh!R$19)</f>
        <v>0</v>
      </c>
      <c r="S4" s="119">
        <f>roh!S$12*100/(100-roh!S$19)</f>
        <v>0</v>
      </c>
      <c r="T4" s="119">
        <f>roh!T$12*100/(100-roh!T$19)</f>
        <v>0</v>
      </c>
      <c r="U4" s="119">
        <f>roh!U$12*100/(100-roh!U$19)</f>
        <v>0</v>
      </c>
      <c r="V4" s="119">
        <f>roh!V$12*100/(100-roh!V$19)</f>
        <v>0</v>
      </c>
      <c r="W4" s="119">
        <f>roh!W$12*100/(100-roh!W$19)</f>
        <v>0</v>
      </c>
      <c r="X4" s="119">
        <f>roh!X$12*100/(100-roh!X$19)</f>
        <v>0</v>
      </c>
      <c r="Y4" s="119">
        <f>roh!Y$12*100/(100-roh!Y$19)</f>
        <v>0</v>
      </c>
      <c r="Z4" s="119">
        <f>roh!Z$12*100/(100-roh!Z$19)</f>
        <v>0</v>
      </c>
    </row>
    <row r="5" spans="1:26" s="2" customFormat="1" ht="12.75" customHeight="1" x14ac:dyDescent="0.2">
      <c r="B5" s="7" t="s">
        <v>77</v>
      </c>
      <c r="C5" s="119">
        <f>roh!C$13*100/(100-roh!C$19)</f>
        <v>42.018663737535235</v>
      </c>
      <c r="D5" s="119">
        <f>roh!D$13*100/(100-roh!D$19)</f>
        <v>43.501143176928842</v>
      </c>
      <c r="E5" s="119">
        <f>roh!E$13*100/(100-roh!E$19)</f>
        <v>44.64247761633743</v>
      </c>
      <c r="F5" s="119">
        <f>roh!F$13*100/(100-roh!F$19)</f>
        <v>34.040481289037004</v>
      </c>
      <c r="G5" s="119">
        <f>roh!G$13*100/(100-roh!G$19)</f>
        <v>86.698779698779688</v>
      </c>
      <c r="H5" s="119">
        <f>roh!H$13*100/(100-roh!H$19)</f>
        <v>86.699729699729701</v>
      </c>
      <c r="I5" s="119">
        <f>roh!I$13*100/(100-roh!I$19)</f>
        <v>71.606999106940236</v>
      </c>
      <c r="J5" s="119">
        <f>roh!J$13*100/(100-roh!J$19)</f>
        <v>81.097888063185792</v>
      </c>
      <c r="K5" s="119">
        <f>roh!K$13*100/(100-roh!K$19)</f>
        <v>0</v>
      </c>
      <c r="L5" s="119">
        <f>roh!L$13*100/(100-roh!L$19)</f>
        <v>0</v>
      </c>
      <c r="M5" s="119">
        <f>roh!M$13*100/(100-roh!M$19)</f>
        <v>0</v>
      </c>
      <c r="N5" s="119">
        <f>roh!N$13*100/(100-roh!N$19)</f>
        <v>0</v>
      </c>
      <c r="O5" s="119">
        <f>roh!O$13*100/(100-roh!O$19)</f>
        <v>0</v>
      </c>
      <c r="P5" s="119">
        <f>roh!P$13*100/(100-roh!P$19)</f>
        <v>0</v>
      </c>
      <c r="Q5" s="119">
        <f>roh!Q$13*100/(100-roh!Q$19)</f>
        <v>0</v>
      </c>
      <c r="R5" s="119">
        <f>roh!R$13*100/(100-roh!R$19)</f>
        <v>0</v>
      </c>
      <c r="S5" s="119">
        <f>roh!S$13*100/(100-roh!S$19)</f>
        <v>0</v>
      </c>
      <c r="T5" s="119">
        <f>roh!T$13*100/(100-roh!T$19)</f>
        <v>0</v>
      </c>
      <c r="U5" s="119">
        <f>roh!U$13*100/(100-roh!U$19)</f>
        <v>0</v>
      </c>
      <c r="V5" s="119">
        <f>roh!V$13*100/(100-roh!V$19)</f>
        <v>0</v>
      </c>
      <c r="W5" s="119">
        <f>roh!W$13*100/(100-roh!W$19)</f>
        <v>0</v>
      </c>
      <c r="X5" s="119">
        <f>roh!X$13*100/(100-roh!X$19)</f>
        <v>0</v>
      </c>
      <c r="Y5" s="119">
        <f>roh!Y$13*100/(100-roh!Y$19)</f>
        <v>0</v>
      </c>
      <c r="Z5" s="119">
        <f>roh!Z$13*100/(100-roh!Z$19)</f>
        <v>0</v>
      </c>
    </row>
    <row r="6" spans="1:26" s="2" customFormat="1" ht="12.75" customHeight="1" x14ac:dyDescent="0.2">
      <c r="B6" s="7" t="s">
        <v>78</v>
      </c>
      <c r="C6" s="119">
        <f>roh!C$14*100/(100-roh!C$19)</f>
        <v>5.2893482604458759</v>
      </c>
      <c r="D6" s="119">
        <f>roh!D$14*100/(100-roh!D$19)</f>
        <v>4.8408843141005304</v>
      </c>
      <c r="E6" s="119">
        <f>roh!E$14*100/(100-roh!E$19)</f>
        <v>6.9684470521264847</v>
      </c>
      <c r="F6" s="119">
        <f>roh!F$14*100/(100-roh!F$19)</f>
        <v>4.2850472736492096</v>
      </c>
      <c r="G6" s="119">
        <f>roh!G$14*100/(100-roh!G$19)</f>
        <v>13.299990920322106</v>
      </c>
      <c r="H6" s="119">
        <f>roh!H$14*100/(100-roh!H$19)</f>
        <v>13.299990920322106</v>
      </c>
      <c r="I6" s="119">
        <f>roh!I$14*100/(100-roh!I$19)</f>
        <v>25.251202348831356</v>
      </c>
      <c r="J6" s="119">
        <f>roh!J$14*100/(100-roh!J$19)</f>
        <v>17.901751367354617</v>
      </c>
      <c r="K6" s="119">
        <f>roh!K$14*100/(100-roh!K$19)</f>
        <v>0</v>
      </c>
      <c r="L6" s="119">
        <f>roh!L$14*100/(100-roh!L$19)</f>
        <v>0</v>
      </c>
      <c r="M6" s="119">
        <f>roh!M$14*100/(100-roh!M$19)</f>
        <v>0</v>
      </c>
      <c r="N6" s="119">
        <f>roh!N$14*100/(100-roh!N$19)</f>
        <v>0</v>
      </c>
      <c r="O6" s="119">
        <f>roh!O$14*100/(100-roh!O$19)</f>
        <v>0</v>
      </c>
      <c r="P6" s="119">
        <f>roh!P$14*100/(100-roh!P$19)</f>
        <v>0</v>
      </c>
      <c r="Q6" s="119">
        <f>roh!Q$14*100/(100-roh!Q$19)</f>
        <v>0</v>
      </c>
      <c r="R6" s="119">
        <f>roh!R$14*100/(100-roh!R$19)</f>
        <v>0</v>
      </c>
      <c r="S6" s="119">
        <f>roh!S$14*100/(100-roh!S$19)</f>
        <v>0</v>
      </c>
      <c r="T6" s="119">
        <f>roh!T$14*100/(100-roh!T$19)</f>
        <v>0</v>
      </c>
      <c r="U6" s="119">
        <f>roh!U$14*100/(100-roh!U$19)</f>
        <v>0</v>
      </c>
      <c r="V6" s="119">
        <f>roh!V$14*100/(100-roh!V$19)</f>
        <v>0</v>
      </c>
      <c r="W6" s="119">
        <f>roh!W$14*100/(100-roh!W$19)</f>
        <v>0</v>
      </c>
      <c r="X6" s="119">
        <f>roh!X$14*100/(100-roh!X$19)</f>
        <v>0</v>
      </c>
      <c r="Y6" s="119">
        <f>roh!Y$14*100/(100-roh!Y$19)</f>
        <v>0</v>
      </c>
      <c r="Z6" s="119">
        <f>roh!Z$14*100/(100-roh!Z$19)</f>
        <v>0</v>
      </c>
    </row>
    <row r="7" spans="1:26" s="2" customFormat="1" ht="12.75" customHeight="1" x14ac:dyDescent="0.2">
      <c r="B7" s="7" t="s">
        <v>79</v>
      </c>
      <c r="C7" s="119">
        <f>roh!C$15*100/(100-roh!C$19)</f>
        <v>38.735774152350679</v>
      </c>
      <c r="D7" s="119">
        <f>roh!D$15*100/(100-roh!D$19)</f>
        <v>37.646727073345239</v>
      </c>
      <c r="E7" s="119">
        <f>roh!E$15*100/(100-roh!E$19)</f>
        <v>38.001681776073966</v>
      </c>
      <c r="F7" s="119">
        <f>roh!F$15*100/(100-roh!F$19)</f>
        <v>31.29345147834</v>
      </c>
      <c r="G7" s="119">
        <f>roh!G$15*100/(100-roh!G$19)</f>
        <v>2.2379691204805639E-5</v>
      </c>
      <c r="H7" s="119">
        <f>roh!H$15*100/(100-roh!H$19)</f>
        <v>2.2379691190594801E-5</v>
      </c>
      <c r="I7" s="119">
        <f>roh!I$15*100/(100-roh!I$19)</f>
        <v>0</v>
      </c>
      <c r="J7" s="119">
        <f>roh!J$15*100/(100-roh!J$19)</f>
        <v>3.6056945959160201E-4</v>
      </c>
      <c r="K7" s="119">
        <f>roh!K$15*100/(100-roh!K$19)</f>
        <v>100</v>
      </c>
      <c r="L7" s="119">
        <f>roh!L$15*100/(100-roh!L$19)</f>
        <v>100</v>
      </c>
      <c r="M7" s="119">
        <f>roh!M$15*100/(100-roh!M$19)</f>
        <v>100</v>
      </c>
      <c r="N7" s="119">
        <f>roh!N$15*100/(100-roh!N$19)</f>
        <v>100</v>
      </c>
      <c r="O7" s="119">
        <f>roh!O$15*100/(100-roh!O$19)</f>
        <v>100</v>
      </c>
      <c r="P7" s="119">
        <f>roh!P$15*100/(100-roh!P$19)</f>
        <v>100</v>
      </c>
      <c r="Q7" s="119">
        <f>roh!Q$15*100/(100-roh!Q$19)</f>
        <v>100</v>
      </c>
      <c r="R7" s="119">
        <f>roh!R$15*100/(100-roh!R$19)</f>
        <v>100</v>
      </c>
      <c r="S7" s="119">
        <f>roh!S$15*100/(100-roh!S$19)</f>
        <v>100</v>
      </c>
      <c r="T7" s="119">
        <f>roh!T$15*100/(100-roh!T$19)</f>
        <v>100</v>
      </c>
      <c r="U7" s="119">
        <f>roh!U$15*100/(100-roh!U$19)</f>
        <v>100</v>
      </c>
      <c r="V7" s="119">
        <f>roh!V$15*100/(100-roh!V$19)</f>
        <v>100</v>
      </c>
      <c r="W7" s="119">
        <f>roh!W$15*100/(100-roh!W$19)</f>
        <v>100</v>
      </c>
      <c r="X7" s="119">
        <f>roh!X$15*100/(100-roh!X$19)</f>
        <v>100</v>
      </c>
      <c r="Y7" s="119">
        <f>roh!Y$15*100/(100-roh!Y$19)</f>
        <v>100</v>
      </c>
      <c r="Z7" s="119">
        <f>roh!Z$15*100/(100-roh!Z$19)</f>
        <v>100</v>
      </c>
    </row>
    <row r="8" spans="1:26" s="2" customFormat="1" ht="12.75" customHeight="1" x14ac:dyDescent="0.2">
      <c r="B8" s="7" t="s">
        <v>80</v>
      </c>
      <c r="C8" s="119">
        <f>roh!C$16*100/(100-roh!C$19)</f>
        <v>0</v>
      </c>
      <c r="D8" s="119">
        <f>roh!D$16*100/(100-roh!D$19)</f>
        <v>8.9693078715317204E-2</v>
      </c>
      <c r="E8" s="119">
        <f>roh!E$16*100/(100-roh!E$19)</f>
        <v>1.3822785500471448</v>
      </c>
      <c r="F8" s="119">
        <f>roh!F$16*100/(100-roh!F$19)</f>
        <v>7.2891822888730209E-2</v>
      </c>
      <c r="G8" s="119">
        <f>roh!G$16*100/(100-roh!G$19)</f>
        <v>7.0000070000069998E-6</v>
      </c>
      <c r="H8" s="119">
        <f>roh!H$16*100/(100-roh!H$19)</f>
        <v>7.0000070000069998E-6</v>
      </c>
      <c r="I8" s="119">
        <f>roh!I$16*100/(100-roh!I$19)</f>
        <v>3.1417985442284078</v>
      </c>
      <c r="J8" s="119">
        <f>roh!J$16*100/(100-roh!J$19)</f>
        <v>0</v>
      </c>
      <c r="K8" s="119">
        <f>roh!K$16*100/(100-roh!K$19)</f>
        <v>0</v>
      </c>
      <c r="L8" s="119">
        <f>roh!L$16*100/(100-roh!L$19)</f>
        <v>0</v>
      </c>
      <c r="M8" s="119">
        <f>roh!M$16*100/(100-roh!M$19)</f>
        <v>0</v>
      </c>
      <c r="N8" s="119">
        <f>roh!N$16*100/(100-roh!N$19)</f>
        <v>0</v>
      </c>
      <c r="O8" s="119">
        <f>roh!O$16*100/(100-roh!O$19)</f>
        <v>0</v>
      </c>
      <c r="P8" s="119">
        <f>roh!P$16*100/(100-roh!P$19)</f>
        <v>0</v>
      </c>
      <c r="Q8" s="119">
        <f>roh!Q$16*100/(100-roh!Q$19)</f>
        <v>0</v>
      </c>
      <c r="R8" s="119">
        <f>roh!R$16*100/(100-roh!R$19)</f>
        <v>0</v>
      </c>
      <c r="S8" s="119">
        <f>roh!S$16*100/(100-roh!S$19)</f>
        <v>0</v>
      </c>
      <c r="T8" s="119">
        <f>roh!T$16*100/(100-roh!T$19)</f>
        <v>0</v>
      </c>
      <c r="U8" s="119">
        <f>roh!U$16*100/(100-roh!U$19)</f>
        <v>0</v>
      </c>
      <c r="V8" s="119">
        <f>roh!V$16*100/(100-roh!V$19)</f>
        <v>0</v>
      </c>
      <c r="W8" s="119">
        <f>roh!W$16*100/(100-roh!W$19)</f>
        <v>0</v>
      </c>
      <c r="X8" s="119">
        <f>roh!X$16*100/(100-roh!X$19)</f>
        <v>0</v>
      </c>
      <c r="Y8" s="119">
        <f>roh!Y$16*100/(100-roh!Y$19)</f>
        <v>0</v>
      </c>
      <c r="Z8" s="119">
        <f>roh!Z$16*100/(100-roh!Z$19)</f>
        <v>0</v>
      </c>
    </row>
    <row r="9" spans="1:26" s="2" customFormat="1" ht="12.75" customHeight="1" x14ac:dyDescent="0.2">
      <c r="B9" s="7" t="s">
        <v>81</v>
      </c>
      <c r="C9" s="119">
        <f>roh!C$17*100/(100-roh!C$19)</f>
        <v>0</v>
      </c>
      <c r="D9" s="119">
        <f>roh!D$17*100/(100-roh!D$19)</f>
        <v>0</v>
      </c>
      <c r="E9" s="119">
        <f>roh!E$17*100/(100-roh!E$19)</f>
        <v>0.17406470630223306</v>
      </c>
      <c r="F9" s="119">
        <f>roh!F$17*100/(100-roh!F$19)</f>
        <v>7.2891822888730201E-3</v>
      </c>
      <c r="G9" s="119">
        <f>roh!G$17*100/(100-roh!G$19)</f>
        <v>1.000001000001E-3</v>
      </c>
      <c r="H9" s="119">
        <f>roh!H$17*100/(100-roh!H$19)</f>
        <v>5.0000050000050001E-5</v>
      </c>
      <c r="I9" s="119">
        <f>roh!I$17*100/(100-roh!I$19)</f>
        <v>0</v>
      </c>
      <c r="J9" s="119">
        <f>roh!J$17*100/(100-roh!J$19)</f>
        <v>0</v>
      </c>
      <c r="K9" s="119">
        <f>roh!K$17*100/(100-roh!K$19)</f>
        <v>0</v>
      </c>
      <c r="L9" s="119">
        <f>roh!L$17*100/(100-roh!L$19)</f>
        <v>0</v>
      </c>
      <c r="M9" s="119">
        <f>roh!M$17*100/(100-roh!M$19)</f>
        <v>0</v>
      </c>
      <c r="N9" s="119">
        <f>roh!N$17*100/(100-roh!N$19)</f>
        <v>0</v>
      </c>
      <c r="O9" s="119">
        <f>roh!O$17*100/(100-roh!O$19)</f>
        <v>0</v>
      </c>
      <c r="P9" s="119">
        <f>roh!P$17*100/(100-roh!P$19)</f>
        <v>0</v>
      </c>
      <c r="Q9" s="119">
        <f>roh!Q$17*100/(100-roh!Q$19)</f>
        <v>0</v>
      </c>
      <c r="R9" s="119">
        <f>roh!R$17*100/(100-roh!R$19)</f>
        <v>0</v>
      </c>
      <c r="S9" s="119">
        <f>roh!S$17*100/(100-roh!S$19)</f>
        <v>0</v>
      </c>
      <c r="T9" s="119">
        <f>roh!T$17*100/(100-roh!T$19)</f>
        <v>0</v>
      </c>
      <c r="U9" s="119">
        <f>roh!U$17*100/(100-roh!U$19)</f>
        <v>0</v>
      </c>
      <c r="V9" s="119">
        <f>roh!V$17*100/(100-roh!V$19)</f>
        <v>0</v>
      </c>
      <c r="W9" s="119">
        <f>roh!W$17*100/(100-roh!W$19)</f>
        <v>0</v>
      </c>
      <c r="X9" s="119">
        <f>roh!X$17*100/(100-roh!X$19)</f>
        <v>0</v>
      </c>
      <c r="Y9" s="119">
        <f>roh!Y$17*100/(100-roh!Y$19)</f>
        <v>0</v>
      </c>
      <c r="Z9" s="119">
        <f>roh!Z$17*100/(100-roh!Z$19)</f>
        <v>0</v>
      </c>
    </row>
    <row r="10" spans="1:26" s="2" customFormat="1" ht="12.75" customHeight="1" x14ac:dyDescent="0.2">
      <c r="B10" s="7" t="s">
        <v>82</v>
      </c>
      <c r="C10" s="119">
        <f>roh!C$18*100/(100-roh!C$19)</f>
        <v>0</v>
      </c>
      <c r="D10" s="119">
        <f>roh!D$18*100/(100-roh!D$19)</f>
        <v>0</v>
      </c>
      <c r="E10" s="119">
        <f>roh!E$18*100/(100-roh!E$19)</f>
        <v>0.37884671371662487</v>
      </c>
      <c r="F10" s="119">
        <f>roh!F$18*100/(100-roh!F$19)</f>
        <v>7.2891822888730201E-3</v>
      </c>
      <c r="G10" s="119">
        <f>roh!G$18*100/(100-roh!G$19)</f>
        <v>0</v>
      </c>
      <c r="H10" s="119">
        <f>roh!H$18*100/(100-roh!H$19)</f>
        <v>0</v>
      </c>
      <c r="I10" s="119">
        <f>roh!I$18*100/(100-roh!I$19)</f>
        <v>0</v>
      </c>
      <c r="J10" s="119">
        <f>roh!J$18*100/(100-roh!J$19)</f>
        <v>0</v>
      </c>
      <c r="K10" s="119">
        <f>roh!K$18*100/(100-roh!K$19)</f>
        <v>0</v>
      </c>
      <c r="L10" s="119">
        <f>roh!L$18*100/(100-roh!L$19)</f>
        <v>0</v>
      </c>
      <c r="M10" s="119">
        <f>roh!M$18*100/(100-roh!M$19)</f>
        <v>0</v>
      </c>
      <c r="N10" s="119">
        <f>roh!N$18*100/(100-roh!N$19)</f>
        <v>0</v>
      </c>
      <c r="O10" s="119">
        <f>roh!O$18*100/(100-roh!O$19)</f>
        <v>0</v>
      </c>
      <c r="P10" s="119">
        <f>roh!P$18*100/(100-roh!P$19)</f>
        <v>0</v>
      </c>
      <c r="Q10" s="119">
        <f>roh!Q$18*100/(100-roh!Q$19)</f>
        <v>0</v>
      </c>
      <c r="R10" s="119">
        <f>roh!R$18*100/(100-roh!R$19)</f>
        <v>0</v>
      </c>
      <c r="S10" s="119">
        <f>roh!S$18*100/(100-roh!S$19)</f>
        <v>0</v>
      </c>
      <c r="T10" s="119">
        <f>roh!T$18*100/(100-roh!T$19)</f>
        <v>0</v>
      </c>
      <c r="U10" s="119">
        <f>roh!U$18*100/(100-roh!U$19)</f>
        <v>0</v>
      </c>
      <c r="V10" s="119">
        <f>roh!V$18*100/(100-roh!V$19)</f>
        <v>0</v>
      </c>
      <c r="W10" s="119">
        <f>roh!W$18*100/(100-roh!W$19)</f>
        <v>0</v>
      </c>
      <c r="X10" s="119">
        <f>roh!X$18*100/(100-roh!X$19)</f>
        <v>0</v>
      </c>
      <c r="Y10" s="119">
        <f>roh!Y$18*100/(100-roh!Y$19)</f>
        <v>0</v>
      </c>
      <c r="Z10" s="119">
        <f>roh!Z$18*100/(100-roh!Z$19)</f>
        <v>0</v>
      </c>
    </row>
    <row r="11" spans="1:26" s="2" customFormat="1" ht="12.75" customHeight="1" x14ac:dyDescent="0.2">
      <c r="B11" s="7" t="s">
        <v>7</v>
      </c>
      <c r="C11" s="119">
        <f>SUM(C4:C10)</f>
        <v>100</v>
      </c>
      <c r="D11" s="119">
        <f t="shared" ref="D11:Z11" si="0">SUM(D4:D10)</f>
        <v>100</v>
      </c>
      <c r="E11" s="119">
        <f t="shared" si="0"/>
        <v>100</v>
      </c>
      <c r="F11" s="119">
        <f t="shared" si="0"/>
        <v>100</v>
      </c>
      <c r="G11" s="119">
        <f t="shared" si="0"/>
        <v>99.999999999999986</v>
      </c>
      <c r="H11" s="119">
        <f t="shared" si="0"/>
        <v>99.999999999999986</v>
      </c>
      <c r="I11" s="119">
        <f t="shared" si="0"/>
        <v>100</v>
      </c>
      <c r="J11" s="119">
        <f t="shared" si="0"/>
        <v>100</v>
      </c>
      <c r="K11" s="119">
        <f t="shared" si="0"/>
        <v>100</v>
      </c>
      <c r="L11" s="119">
        <f t="shared" si="0"/>
        <v>100</v>
      </c>
      <c r="M11" s="119">
        <f t="shared" si="0"/>
        <v>100</v>
      </c>
      <c r="N11" s="119">
        <f t="shared" si="0"/>
        <v>100</v>
      </c>
      <c r="O11" s="119">
        <f t="shared" si="0"/>
        <v>100</v>
      </c>
      <c r="P11" s="119">
        <f t="shared" si="0"/>
        <v>100</v>
      </c>
      <c r="Q11" s="119">
        <f t="shared" si="0"/>
        <v>100</v>
      </c>
      <c r="R11" s="119">
        <f t="shared" si="0"/>
        <v>100</v>
      </c>
      <c r="S11" s="119">
        <f t="shared" si="0"/>
        <v>100</v>
      </c>
      <c r="T11" s="119">
        <f t="shared" si="0"/>
        <v>100</v>
      </c>
      <c r="U11" s="119">
        <f t="shared" si="0"/>
        <v>100</v>
      </c>
      <c r="V11" s="119">
        <f t="shared" si="0"/>
        <v>100</v>
      </c>
      <c r="W11" s="119">
        <f t="shared" si="0"/>
        <v>100</v>
      </c>
      <c r="X11" s="119">
        <f t="shared" si="0"/>
        <v>100</v>
      </c>
      <c r="Y11" s="119">
        <f t="shared" si="0"/>
        <v>100</v>
      </c>
      <c r="Z11" s="119">
        <f t="shared" si="0"/>
        <v>100</v>
      </c>
    </row>
    <row r="12" spans="1:26" s="2" customFormat="1" ht="30" customHeight="1" x14ac:dyDescent="0.2">
      <c r="A12" s="194" t="s">
        <v>191</v>
      </c>
      <c r="B12" s="195"/>
    </row>
    <row r="13" spans="1:26" x14ac:dyDescent="0.2">
      <c r="A13" s="2"/>
      <c r="B13" s="7" t="s">
        <v>16</v>
      </c>
      <c r="C13" s="8">
        <f>roh!C$22*100/(100-roh!C$19)</f>
        <v>16379.181042357421</v>
      </c>
      <c r="D13" s="8">
        <f>roh!D$22*100/(100-roh!D$19)</f>
        <v>17093.706941565153</v>
      </c>
      <c r="E13" s="8">
        <f>roh!E$22*100/(100-roh!E$19)</f>
        <v>18010.577552095765</v>
      </c>
      <c r="F13" s="8">
        <f>roh!F$22*100/(100-roh!F$19)</f>
        <v>13269.227438664446</v>
      </c>
      <c r="G13" s="8">
        <f>roh!G$22*100/(100-roh!G$19)</f>
        <v>45400.045400045405</v>
      </c>
      <c r="H13" s="8">
        <f>roh!H$22*100/(100-roh!H$19)</f>
        <v>45400.045400045405</v>
      </c>
      <c r="I13" s="8">
        <f>roh!I$22*100/(100-roh!I$19)</f>
        <v>52086.075949367092</v>
      </c>
      <c r="J13" s="8">
        <f>roh!J$22*100/(100-roh!J$19)</f>
        <v>49750.582959641244</v>
      </c>
      <c r="K13" s="8">
        <f>roh!K$22*100/(100-roh!K$19)</f>
        <v>0</v>
      </c>
      <c r="L13" s="8">
        <f>roh!L$22*100/(100-roh!L$19)</f>
        <v>0</v>
      </c>
      <c r="M13" s="8">
        <f>roh!M$22*100/(100-roh!M$19)</f>
        <v>0</v>
      </c>
      <c r="N13" s="8">
        <f>roh!N$22*100/(100-roh!N$19)</f>
        <v>0</v>
      </c>
      <c r="O13" s="8">
        <f>roh!O$22*100/(100-roh!O$19)</f>
        <v>0</v>
      </c>
      <c r="P13" s="8">
        <f>roh!P$22*100/(100-roh!P$19)</f>
        <v>0</v>
      </c>
      <c r="Q13" s="8">
        <f>roh!Q$22*100/(100-roh!Q$19)</f>
        <v>0</v>
      </c>
      <c r="R13" s="8">
        <f>roh!R$22*100/(100-roh!R$19)</f>
        <v>0</v>
      </c>
      <c r="S13" s="8">
        <f>roh!S$22*100/(100-roh!S$19)</f>
        <v>0</v>
      </c>
      <c r="T13" s="8">
        <f>roh!T$22*100/(100-roh!T$19)</f>
        <v>0</v>
      </c>
      <c r="U13" s="8">
        <f>roh!U$22*100/(100-roh!U$19)</f>
        <v>0</v>
      </c>
      <c r="V13" s="8">
        <f>roh!V$22*100/(100-roh!V$19)</f>
        <v>0</v>
      </c>
      <c r="W13" s="8">
        <f>roh!W$22*100/(100-roh!W$19)</f>
        <v>0</v>
      </c>
      <c r="X13" s="8">
        <f>roh!X$22*100/(100-roh!X$19)</f>
        <v>0</v>
      </c>
      <c r="Y13" s="8">
        <f>roh!Y$22*100/(100-roh!Y$19)</f>
        <v>0</v>
      </c>
      <c r="Z13" s="8">
        <f>roh!Z$22*100/(100-roh!Z$19)</f>
        <v>0</v>
      </c>
    </row>
    <row r="14" spans="1:26" s="6" customFormat="1" x14ac:dyDescent="0.2">
      <c r="A14" s="50"/>
      <c r="B14" s="7" t="s">
        <v>17</v>
      </c>
      <c r="C14" s="8">
        <f>roh!C$23*100/(100-roh!C$19)</f>
        <v>14885.371352647573</v>
      </c>
      <c r="D14" s="8">
        <f>roh!D$23*100/(100-roh!D$19)</f>
        <v>15696.662718343472</v>
      </c>
      <c r="E14" s="8">
        <f>roh!E$23*100/(100-roh!E$19)</f>
        <v>16294.575430487612</v>
      </c>
      <c r="F14" s="8">
        <f>roh!F$23*100/(100-roh!F$19)</f>
        <v>11595.204416364544</v>
      </c>
      <c r="G14" s="8">
        <f>roh!G$23*100/(100-roh!G$19)</f>
        <v>42579.112416336437</v>
      </c>
      <c r="H14" s="8">
        <f>roh!H$23*100/(100-roh!H$19)</f>
        <v>42579.112416336437</v>
      </c>
      <c r="I14" s="8">
        <f>roh!I$23*100/(100-roh!I$19)</f>
        <v>46727.782492344588</v>
      </c>
      <c r="J14" s="8">
        <f>roh!J$23*100/(100-roh!J$19)</f>
        <v>45929.191206169773</v>
      </c>
      <c r="K14" s="8">
        <f>roh!K$23*100/(100-roh!K$19)</f>
        <v>-80</v>
      </c>
      <c r="L14" s="8">
        <f>roh!L$23*100/(100-roh!L$19)</f>
        <v>-80</v>
      </c>
      <c r="M14" s="8">
        <f>roh!M$23*100/(100-roh!M$19)</f>
        <v>-80</v>
      </c>
      <c r="N14" s="8">
        <f>roh!N$23*100/(100-roh!N$19)</f>
        <v>-80</v>
      </c>
      <c r="O14" s="8">
        <f>roh!O$23*100/(100-roh!O$19)</f>
        <v>-80</v>
      </c>
      <c r="P14" s="8">
        <f>roh!P$23*100/(100-roh!P$19)</f>
        <v>-80</v>
      </c>
      <c r="Q14" s="8">
        <f>roh!Q$23*100/(100-roh!Q$19)</f>
        <v>-80</v>
      </c>
      <c r="R14" s="8">
        <f>roh!R$23*100/(100-roh!R$19)</f>
        <v>-80</v>
      </c>
      <c r="S14" s="8">
        <f>roh!S$23*100/(100-roh!S$19)</f>
        <v>-80</v>
      </c>
      <c r="T14" s="8">
        <f>roh!T$23*100/(100-roh!T$19)</f>
        <v>-80</v>
      </c>
      <c r="U14" s="8">
        <f>roh!U$23*100/(100-roh!U$19)</f>
        <v>-80</v>
      </c>
      <c r="V14" s="8">
        <f>roh!V$23*100/(100-roh!V$19)</f>
        <v>-80</v>
      </c>
      <c r="W14" s="8">
        <f>roh!W$23*100/(100-roh!W$19)</f>
        <v>-80</v>
      </c>
      <c r="X14" s="8">
        <f>roh!X$23*100/(100-roh!X$19)</f>
        <v>-80</v>
      </c>
      <c r="Y14" s="8">
        <f>roh!Y$23*100/(100-roh!Y$19)</f>
        <v>-80</v>
      </c>
      <c r="Z14" s="8">
        <f>roh!Z$23*100/(100-roh!Z$19)</f>
        <v>-80</v>
      </c>
    </row>
  </sheetData>
  <mergeCells count="2">
    <mergeCell ref="A1:B1"/>
    <mergeCell ref="A12:B12"/>
  </mergeCell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3"/>
  <sheetViews>
    <sheetView workbookViewId="0">
      <selection sqref="A1:B1"/>
    </sheetView>
  </sheetViews>
  <sheetFormatPr baseColWidth="10" defaultColWidth="11.42578125" defaultRowHeight="12.75" x14ac:dyDescent="0.2"/>
  <cols>
    <col min="1" max="1" width="4.42578125" style="50" customWidth="1"/>
    <col min="2" max="2" width="25" style="50" customWidth="1"/>
    <col min="3" max="16384" width="11.42578125" style="50"/>
  </cols>
  <sheetData>
    <row r="1" spans="1:26" s="2" customFormat="1" ht="30" customHeight="1" x14ac:dyDescent="0.2">
      <c r="A1" s="193" t="s">
        <v>190</v>
      </c>
      <c r="B1" s="19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s="2" customFormat="1" ht="12.75" customHeight="1" x14ac:dyDescent="0.2">
      <c r="B2" s="7" t="s">
        <v>74</v>
      </c>
      <c r="C2" s="119">
        <f>wf!C$2*100/(100-wf!C$10)</f>
        <v>83.342047474641845</v>
      </c>
      <c r="D2" s="119">
        <f>wf!D$2*100/(100-wf!D$10)</f>
        <v>83.567781598416175</v>
      </c>
      <c r="E2" s="119">
        <f>wf!E$2*100/(100-wf!E$10)</f>
        <v>81.198971032323001</v>
      </c>
      <c r="F2" s="119">
        <f>wf!F$2*100/(100-wf!F$10)</f>
        <v>83.342047474641845</v>
      </c>
      <c r="G2" s="119">
        <f>wf!G$2*100/(100-wf!G$10)</f>
        <v>100.00030000090003</v>
      </c>
      <c r="H2" s="119">
        <f>wf!H$2*100/(100-wf!H$10)</f>
        <v>100.00030000090003</v>
      </c>
      <c r="I2" s="119">
        <f>wf!I$2*100/(100-wf!I$10)</f>
        <v>100</v>
      </c>
      <c r="J2" s="119">
        <f>wf!J$2*100/(100-wf!J$10)</f>
        <v>100</v>
      </c>
      <c r="K2" s="119">
        <f>wf!K$2*100/(100-wf!K$10)</f>
        <v>0</v>
      </c>
      <c r="L2" s="119">
        <f>wf!L$2*100/(100-wf!L$10)</f>
        <v>0</v>
      </c>
      <c r="M2" s="119">
        <f>wf!M$2*100/(100-wf!M$10)</f>
        <v>0</v>
      </c>
      <c r="N2" s="119">
        <f>wf!N$2*100/(100-wf!N$10)</f>
        <v>0</v>
      </c>
      <c r="O2" s="119">
        <f>wf!O$2*100/(100-wf!O$10)</f>
        <v>0</v>
      </c>
      <c r="P2" s="119">
        <f>wf!P$2*100/(100-wf!P$10)</f>
        <v>0</v>
      </c>
      <c r="Q2" s="119">
        <f>wf!Q$2*100/(100-wf!Q$10)</f>
        <v>0</v>
      </c>
      <c r="R2" s="119">
        <f>wf!R$2*100/(100-wf!R$10)</f>
        <v>0</v>
      </c>
      <c r="S2" s="119">
        <f>wf!S$2*100/(100-wf!S$10)</f>
        <v>0</v>
      </c>
      <c r="T2" s="119">
        <f>wf!T$2*100/(100-wf!T$10)</f>
        <v>0</v>
      </c>
      <c r="U2" s="119">
        <f>wf!U$2*100/(100-wf!U$10)</f>
        <v>0</v>
      </c>
      <c r="V2" s="119">
        <f>wf!V$2*100/(100-wf!V$10)</f>
        <v>0</v>
      </c>
      <c r="W2" s="119">
        <f>wf!W$2*100/(100-wf!W$10)</f>
        <v>0</v>
      </c>
      <c r="X2" s="119">
        <f>wf!X$2*100/(100-wf!X$10)</f>
        <v>0</v>
      </c>
      <c r="Y2" s="119">
        <f>wf!Y$2*100/(100-wf!Y$10)</f>
        <v>0</v>
      </c>
      <c r="Z2" s="119">
        <f>wf!Z$2*100/(100-wf!Z$10)</f>
        <v>0</v>
      </c>
    </row>
    <row r="3" spans="1:26" s="2" customFormat="1" ht="12.75" customHeight="1" x14ac:dyDescent="0.2">
      <c r="B3" s="7" t="s">
        <v>75</v>
      </c>
      <c r="C3" s="119">
        <f>wf!C$3*100/(100-wf!C$10)</f>
        <v>16.31287252954094</v>
      </c>
      <c r="D3" s="119">
        <f>wf!D$3*100/(100-wf!D$10)</f>
        <v>16.463478170261538</v>
      </c>
      <c r="E3" s="119">
        <f>wf!E$3*100/(100-wf!E$10)</f>
        <v>18.789844536405326</v>
      </c>
      <c r="F3" s="119">
        <f>wf!F$3*100/(100-wf!F$10)</f>
        <v>16.31287252954094</v>
      </c>
      <c r="G3" s="119">
        <f>wf!G$3*100/(100-wf!G$10)</f>
        <v>0</v>
      </c>
      <c r="H3" s="119">
        <f>wf!H$3*100/(100-wf!H$10)</f>
        <v>0</v>
      </c>
      <c r="I3" s="119">
        <f>wf!I$3*100/(100-wf!I$10)</f>
        <v>0</v>
      </c>
      <c r="J3" s="119">
        <f>wf!J$3*100/(100-wf!J$10)</f>
        <v>0</v>
      </c>
      <c r="K3" s="119">
        <f>wf!K$3*100/(100-wf!K$10)</f>
        <v>0</v>
      </c>
      <c r="L3" s="119">
        <f>wf!L$3*100/(100-wf!L$10)</f>
        <v>0</v>
      </c>
      <c r="M3" s="119">
        <f>wf!M$3*100/(100-wf!M$10)</f>
        <v>0</v>
      </c>
      <c r="N3" s="119">
        <f>wf!N$3*100/(100-wf!N$10)</f>
        <v>0</v>
      </c>
      <c r="O3" s="119">
        <f>wf!O$3*100/(100-wf!O$10)</f>
        <v>0</v>
      </c>
      <c r="P3" s="119">
        <f>wf!P$3*100/(100-wf!P$10)</f>
        <v>0</v>
      </c>
      <c r="Q3" s="119">
        <f>wf!Q$3*100/(100-wf!Q$10)</f>
        <v>0</v>
      </c>
      <c r="R3" s="119">
        <f>wf!R$3*100/(100-wf!R$10)</f>
        <v>0</v>
      </c>
      <c r="S3" s="119">
        <f>wf!S$3*100/(100-wf!S$10)</f>
        <v>0</v>
      </c>
      <c r="T3" s="119">
        <f>wf!T$3*100/(100-wf!T$10)</f>
        <v>0</v>
      </c>
      <c r="U3" s="119">
        <f>wf!U$3*100/(100-wf!U$10)</f>
        <v>0</v>
      </c>
      <c r="V3" s="119">
        <f>wf!V$3*100/(100-wf!V$10)</f>
        <v>0</v>
      </c>
      <c r="W3" s="119">
        <f>wf!W$3*100/(100-wf!W$10)</f>
        <v>0</v>
      </c>
      <c r="X3" s="119">
        <f>wf!X$3*100/(100-wf!X$10)</f>
        <v>0</v>
      </c>
      <c r="Y3" s="119">
        <f>wf!Y$3*100/(100-wf!Y$10)</f>
        <v>0</v>
      </c>
      <c r="Z3" s="119">
        <f>wf!Z$3*100/(100-wf!Z$10)</f>
        <v>0</v>
      </c>
    </row>
    <row r="4" spans="1:26" s="2" customFormat="1" ht="12.75" customHeight="1" x14ac:dyDescent="0.2">
      <c r="B4" s="7" t="s">
        <v>77</v>
      </c>
      <c r="C4" s="119">
        <f>wf!C$4*100/(100-wf!C$10)</f>
        <v>48.83404789292063</v>
      </c>
      <c r="D4" s="119">
        <f>wf!D$4*100/(100-wf!D$10)</f>
        <v>50.536626028967383</v>
      </c>
      <c r="E4" s="119">
        <f>wf!E$4*100/(100-wf!E$10)</f>
        <v>48.764120344480489</v>
      </c>
      <c r="F4" s="119">
        <f>wf!F$4*100/(100-wf!F$10)</f>
        <v>48.83404789292063</v>
      </c>
      <c r="G4" s="119">
        <f>wf!G$4*100/(100-wf!G$10)</f>
        <v>86.698953096859285</v>
      </c>
      <c r="H4" s="119">
        <f>wf!H$4*100/(100-wf!H$10)</f>
        <v>86.699903099709303</v>
      </c>
      <c r="I4" s="119">
        <f>wf!I$4*100/(100-wf!I$10)</f>
        <v>71.606999106940236</v>
      </c>
      <c r="J4" s="119">
        <f>wf!J$4*100/(100-wf!J$10)</f>
        <v>81.917058649682616</v>
      </c>
      <c r="K4" s="119">
        <f>wf!K$4*100/(100-wf!K$10)</f>
        <v>0</v>
      </c>
      <c r="L4" s="119">
        <f>wf!L$4*100/(100-wf!L$10)</f>
        <v>0</v>
      </c>
      <c r="M4" s="119">
        <f>wf!M$4*100/(100-wf!M$10)</f>
        <v>0</v>
      </c>
      <c r="N4" s="119">
        <f>wf!N$4*100/(100-wf!N$10)</f>
        <v>0</v>
      </c>
      <c r="O4" s="119">
        <f>wf!O$4*100/(100-wf!O$10)</f>
        <v>0</v>
      </c>
      <c r="P4" s="119">
        <f>wf!P$4*100/(100-wf!P$10)</f>
        <v>0</v>
      </c>
      <c r="Q4" s="119">
        <f>wf!Q$4*100/(100-wf!Q$10)</f>
        <v>0</v>
      </c>
      <c r="R4" s="119">
        <f>wf!R$4*100/(100-wf!R$10)</f>
        <v>0</v>
      </c>
      <c r="S4" s="119">
        <f>wf!S$4*100/(100-wf!S$10)</f>
        <v>0</v>
      </c>
      <c r="T4" s="119">
        <f>wf!T$4*100/(100-wf!T$10)</f>
        <v>0</v>
      </c>
      <c r="U4" s="119">
        <f>wf!U$4*100/(100-wf!U$10)</f>
        <v>0</v>
      </c>
      <c r="V4" s="119">
        <f>wf!V$4*100/(100-wf!V$10)</f>
        <v>0</v>
      </c>
      <c r="W4" s="119">
        <f>wf!W$4*100/(100-wf!W$10)</f>
        <v>0</v>
      </c>
      <c r="X4" s="119">
        <f>wf!X$4*100/(100-wf!X$10)</f>
        <v>0</v>
      </c>
      <c r="Y4" s="119">
        <f>wf!Y$4*100/(100-wf!Y$10)</f>
        <v>0</v>
      </c>
      <c r="Z4" s="119">
        <f>wf!Z$4*100/(100-wf!Z$10)</f>
        <v>0</v>
      </c>
    </row>
    <row r="5" spans="1:26" s="2" customFormat="1" ht="12.75" customHeight="1" x14ac:dyDescent="0.2">
      <c r="B5" s="7" t="s">
        <v>78</v>
      </c>
      <c r="C5" s="119">
        <f>wf!C$5*100/(100-wf!C$10)</f>
        <v>6.1472751224644711</v>
      </c>
      <c r="D5" s="119">
        <f>wf!D$5*100/(100-wf!D$10)</f>
        <v>5.6238053155564067</v>
      </c>
      <c r="E5" s="119">
        <f>wf!E$5*100/(100-wf!E$10)</f>
        <v>7.6118129818959419</v>
      </c>
      <c r="F5" s="119">
        <f>wf!F$5*100/(100-wf!F$10)</f>
        <v>6.1472751224644711</v>
      </c>
      <c r="G5" s="119">
        <f>wf!G$5*100/(100-wf!G$10)</f>
        <v>13.300017520383747</v>
      </c>
      <c r="H5" s="119">
        <f>wf!H$5*100/(100-wf!H$10)</f>
        <v>13.300017520383747</v>
      </c>
      <c r="I5" s="119">
        <f>wf!I$5*100/(100-wf!I$10)</f>
        <v>25.251202348831356</v>
      </c>
      <c r="J5" s="119">
        <f>wf!J$5*100/(100-wf!J$10)</f>
        <v>18.082577138742039</v>
      </c>
      <c r="K5" s="119">
        <f>wf!K$5*100/(100-wf!K$10)</f>
        <v>0</v>
      </c>
      <c r="L5" s="119">
        <f>wf!L$5*100/(100-wf!L$10)</f>
        <v>0</v>
      </c>
      <c r="M5" s="119">
        <f>wf!M$5*100/(100-wf!M$10)</f>
        <v>0</v>
      </c>
      <c r="N5" s="119">
        <f>wf!N$5*100/(100-wf!N$10)</f>
        <v>0</v>
      </c>
      <c r="O5" s="119">
        <f>wf!O$5*100/(100-wf!O$10)</f>
        <v>0</v>
      </c>
      <c r="P5" s="119">
        <f>wf!P$5*100/(100-wf!P$10)</f>
        <v>0</v>
      </c>
      <c r="Q5" s="119">
        <f>wf!Q$5*100/(100-wf!Q$10)</f>
        <v>0</v>
      </c>
      <c r="R5" s="119">
        <f>wf!R$5*100/(100-wf!R$10)</f>
        <v>0</v>
      </c>
      <c r="S5" s="119">
        <f>wf!S$5*100/(100-wf!S$10)</f>
        <v>0</v>
      </c>
      <c r="T5" s="119">
        <f>wf!T$5*100/(100-wf!T$10)</f>
        <v>0</v>
      </c>
      <c r="U5" s="119">
        <f>wf!U$5*100/(100-wf!U$10)</f>
        <v>0</v>
      </c>
      <c r="V5" s="119">
        <f>wf!V$5*100/(100-wf!V$10)</f>
        <v>0</v>
      </c>
      <c r="W5" s="119">
        <f>wf!W$5*100/(100-wf!W$10)</f>
        <v>0</v>
      </c>
      <c r="X5" s="119">
        <f>wf!X$5*100/(100-wf!X$10)</f>
        <v>0</v>
      </c>
      <c r="Y5" s="119">
        <f>wf!Y$5*100/(100-wf!Y$10)</f>
        <v>0</v>
      </c>
      <c r="Z5" s="119">
        <f>wf!Z$5*100/(100-wf!Z$10)</f>
        <v>0</v>
      </c>
    </row>
    <row r="6" spans="1:26" s="2" customFormat="1" ht="12.75" customHeight="1" x14ac:dyDescent="0.2">
      <c r="B6" s="7" t="s">
        <v>79</v>
      </c>
      <c r="C6" s="119">
        <f>wf!C$6*100/(100-wf!C$10)</f>
        <v>45.018676984614899</v>
      </c>
      <c r="D6" s="119">
        <f>wf!D$6*100/(100-wf!D$10)</f>
        <v>43.735369426550498</v>
      </c>
      <c r="E6" s="119">
        <f>wf!E$6*100/(100-wf!E$10)</f>
        <v>41.510209163277977</v>
      </c>
      <c r="F6" s="119">
        <f>wf!F$6*100/(100-wf!F$10)</f>
        <v>44.893193349772275</v>
      </c>
      <c r="G6" s="119">
        <f>wf!G$6*100/(100-wf!G$10)</f>
        <v>2.2379735964322329E-5</v>
      </c>
      <c r="H6" s="119">
        <f>wf!H$6*100/(100-wf!H$10)</f>
        <v>2.2379735950111461E-5</v>
      </c>
      <c r="I6" s="119">
        <f>wf!I$6*100/(100-wf!I$10)</f>
        <v>0</v>
      </c>
      <c r="J6" s="119">
        <f>wf!J$6*100/(100-wf!J$10)</f>
        <v>3.6421157534505255E-4</v>
      </c>
      <c r="K6" s="119">
        <f>wf!K$6*100/(100-wf!K$10)</f>
        <v>100</v>
      </c>
      <c r="L6" s="119">
        <f>wf!L$6*100/(100-wf!L$10)</f>
        <v>100</v>
      </c>
      <c r="M6" s="119">
        <f>wf!M$6*100/(100-wf!M$10)</f>
        <v>100</v>
      </c>
      <c r="N6" s="119">
        <f>wf!N$6*100/(100-wf!N$10)</f>
        <v>100</v>
      </c>
      <c r="O6" s="119">
        <f>wf!O$6*100/(100-wf!O$10)</f>
        <v>100</v>
      </c>
      <c r="P6" s="119">
        <f>wf!P$6*100/(100-wf!P$10)</f>
        <v>100</v>
      </c>
      <c r="Q6" s="119">
        <f>wf!Q$6*100/(100-wf!Q$10)</f>
        <v>100</v>
      </c>
      <c r="R6" s="119">
        <f>wf!R$6*100/(100-wf!R$10)</f>
        <v>100</v>
      </c>
      <c r="S6" s="119">
        <f>wf!S$6*100/(100-wf!S$10)</f>
        <v>100</v>
      </c>
      <c r="T6" s="119">
        <f>wf!T$6*100/(100-wf!T$10)</f>
        <v>100</v>
      </c>
      <c r="U6" s="119">
        <f>wf!U$6*100/(100-wf!U$10)</f>
        <v>100</v>
      </c>
      <c r="V6" s="119">
        <f>wf!V$6*100/(100-wf!V$10)</f>
        <v>100</v>
      </c>
      <c r="W6" s="119">
        <f>wf!W$6*100/(100-wf!W$10)</f>
        <v>100</v>
      </c>
      <c r="X6" s="119">
        <f>wf!X$6*100/(100-wf!X$10)</f>
        <v>100</v>
      </c>
      <c r="Y6" s="119">
        <f>wf!Y$6*100/(100-wf!Y$10)</f>
        <v>100</v>
      </c>
      <c r="Z6" s="119">
        <f>wf!Z$6*100/(100-wf!Z$10)</f>
        <v>100</v>
      </c>
    </row>
    <row r="7" spans="1:26" s="2" customFormat="1" ht="12.75" customHeight="1" x14ac:dyDescent="0.2">
      <c r="B7" s="7" t="s">
        <v>80</v>
      </c>
      <c r="C7" s="120">
        <f>wf!C$7*100/(100-wf!C$10)</f>
        <v>0</v>
      </c>
      <c r="D7" s="120">
        <f>wf!D$7*100/(100-wf!D$10)</f>
        <v>0.10419922892570593</v>
      </c>
      <c r="E7" s="120">
        <f>wf!E$7*100/(100-wf!E$10)</f>
        <v>1.5098982216754275</v>
      </c>
      <c r="F7" s="120">
        <f>wf!F$7*100/(100-wf!F$10)</f>
        <v>0.10456969570218551</v>
      </c>
      <c r="G7" s="120">
        <f>wf!G$7*100/(100-wf!G$10)</f>
        <v>7.0000210000630005E-6</v>
      </c>
      <c r="H7" s="120">
        <f>wf!H$7*100/(100-wf!H$10)</f>
        <v>7.0000210000630005E-6</v>
      </c>
      <c r="I7" s="120">
        <f>wf!I$7*100/(100-wf!I$10)</f>
        <v>3.1417985442284078</v>
      </c>
      <c r="J7" s="120">
        <f>wf!J$7*100/(100-wf!J$10)</f>
        <v>0</v>
      </c>
      <c r="K7" s="120">
        <f>wf!K$7*100/(100-wf!K$10)</f>
        <v>0</v>
      </c>
      <c r="L7" s="120">
        <f>wf!L$7*100/(100-wf!L$10)</f>
        <v>0</v>
      </c>
      <c r="M7" s="120">
        <f>wf!M$7*100/(100-wf!M$10)</f>
        <v>0</v>
      </c>
      <c r="N7" s="120">
        <f>wf!N$7*100/(100-wf!N$10)</f>
        <v>0</v>
      </c>
      <c r="O7" s="120">
        <f>wf!O$7*100/(100-wf!O$10)</f>
        <v>0</v>
      </c>
      <c r="P7" s="120">
        <f>wf!P$7*100/(100-wf!P$10)</f>
        <v>0</v>
      </c>
      <c r="Q7" s="120">
        <f>wf!Q$7*100/(100-wf!Q$10)</f>
        <v>0</v>
      </c>
      <c r="R7" s="120">
        <f>wf!R$7*100/(100-wf!R$10)</f>
        <v>0</v>
      </c>
      <c r="S7" s="120">
        <f>wf!S$7*100/(100-wf!S$10)</f>
        <v>0</v>
      </c>
      <c r="T7" s="120">
        <f>wf!T$7*100/(100-wf!T$10)</f>
        <v>0</v>
      </c>
      <c r="U7" s="120">
        <f>wf!U$7*100/(100-wf!U$10)</f>
        <v>0</v>
      </c>
      <c r="V7" s="120">
        <f>wf!V$7*100/(100-wf!V$10)</f>
        <v>0</v>
      </c>
      <c r="W7" s="120">
        <f>wf!W$7*100/(100-wf!W$10)</f>
        <v>0</v>
      </c>
      <c r="X7" s="120">
        <f>wf!X$7*100/(100-wf!X$10)</f>
        <v>0</v>
      </c>
      <c r="Y7" s="120">
        <f>wf!Y$7*100/(100-wf!Y$10)</f>
        <v>0</v>
      </c>
      <c r="Z7" s="120">
        <f>wf!Z$7*100/(100-wf!Z$10)</f>
        <v>0</v>
      </c>
    </row>
    <row r="8" spans="1:26" s="2" customFormat="1" ht="12.75" customHeight="1" x14ac:dyDescent="0.2">
      <c r="B8" s="7" t="s">
        <v>81</v>
      </c>
      <c r="C8" s="120">
        <f>wf!C$8*100/(100-wf!C$10)</f>
        <v>0</v>
      </c>
      <c r="D8" s="120">
        <f>wf!D$8*100/(100-wf!D$10)</f>
        <v>0</v>
      </c>
      <c r="E8" s="120">
        <f>wf!E$8*100/(100-wf!E$10)</f>
        <v>0.19013533161838722</v>
      </c>
      <c r="F8" s="120">
        <f>wf!F$8*100/(100-wf!F$10)</f>
        <v>1.0456969570218551E-2</v>
      </c>
      <c r="G8" s="120">
        <f>wf!G$8*100/(100-wf!G$10)</f>
        <v>1.0000030000090001E-3</v>
      </c>
      <c r="H8" s="120">
        <f>wf!H$8*100/(100-wf!H$10)</f>
        <v>5.0000150000450011E-5</v>
      </c>
      <c r="I8" s="120">
        <f>wf!I$8*100/(100-wf!I$10)</f>
        <v>0</v>
      </c>
      <c r="J8" s="120">
        <f>wf!J$8*100/(100-wf!J$10)</f>
        <v>0</v>
      </c>
      <c r="K8" s="120">
        <f>wf!K$8*100/(100-wf!K$10)</f>
        <v>0</v>
      </c>
      <c r="L8" s="120">
        <f>wf!L$8*100/(100-wf!L$10)</f>
        <v>0</v>
      </c>
      <c r="M8" s="120">
        <f>wf!M$8*100/(100-wf!M$10)</f>
        <v>0</v>
      </c>
      <c r="N8" s="120">
        <f>wf!N$8*100/(100-wf!N$10)</f>
        <v>0</v>
      </c>
      <c r="O8" s="120">
        <f>wf!O$8*100/(100-wf!O$10)</f>
        <v>0</v>
      </c>
      <c r="P8" s="120">
        <f>wf!P$8*100/(100-wf!P$10)</f>
        <v>0</v>
      </c>
      <c r="Q8" s="120">
        <f>wf!Q$8*100/(100-wf!Q$10)</f>
        <v>0</v>
      </c>
      <c r="R8" s="120">
        <f>wf!R$8*100/(100-wf!R$10)</f>
        <v>0</v>
      </c>
      <c r="S8" s="120">
        <f>wf!S$8*100/(100-wf!S$10)</f>
        <v>0</v>
      </c>
      <c r="T8" s="120">
        <f>wf!T$8*100/(100-wf!T$10)</f>
        <v>0</v>
      </c>
      <c r="U8" s="120">
        <f>wf!U$8*100/(100-wf!U$10)</f>
        <v>0</v>
      </c>
      <c r="V8" s="120">
        <f>wf!V$8*100/(100-wf!V$10)</f>
        <v>0</v>
      </c>
      <c r="W8" s="120">
        <f>wf!W$8*100/(100-wf!W$10)</f>
        <v>0</v>
      </c>
      <c r="X8" s="120">
        <f>wf!X$8*100/(100-wf!X$10)</f>
        <v>0</v>
      </c>
      <c r="Y8" s="120">
        <f>wf!Y$8*100/(100-wf!Y$10)</f>
        <v>0</v>
      </c>
      <c r="Z8" s="120">
        <f>wf!Z$8*100/(100-wf!Z$10)</f>
        <v>0</v>
      </c>
    </row>
    <row r="9" spans="1:26" s="2" customFormat="1" ht="12.75" customHeight="1" x14ac:dyDescent="0.2">
      <c r="B9" s="7" t="s">
        <v>82</v>
      </c>
      <c r="C9" s="120">
        <f>wf!C$9*100/(100-wf!C$10)</f>
        <v>0</v>
      </c>
      <c r="D9" s="120">
        <f>wf!D$9*100/(100-wf!D$10)</f>
        <v>0</v>
      </c>
      <c r="E9" s="120">
        <f>wf!E$9*100/(100-wf!E$10)</f>
        <v>0.41382395705178393</v>
      </c>
      <c r="F9" s="120">
        <f>wf!F$9*100/(100-wf!F$10)</f>
        <v>1.0456969570218551E-2</v>
      </c>
      <c r="G9" s="120">
        <f>wf!G$9*100/(100-wf!G$10)</f>
        <v>0</v>
      </c>
      <c r="H9" s="120">
        <f>wf!H$9*100/(100-wf!H$10)</f>
        <v>0</v>
      </c>
      <c r="I9" s="120">
        <f>wf!I$9*100/(100-wf!I$10)</f>
        <v>0</v>
      </c>
      <c r="J9" s="120">
        <f>wf!J$9*100/(100-wf!J$10)</f>
        <v>0</v>
      </c>
      <c r="K9" s="120">
        <f>wf!K$9*100/(100-wf!K$10)</f>
        <v>0</v>
      </c>
      <c r="L9" s="120">
        <f>wf!L$9*100/(100-wf!L$10)</f>
        <v>0</v>
      </c>
      <c r="M9" s="120">
        <f>wf!M$9*100/(100-wf!M$10)</f>
        <v>0</v>
      </c>
      <c r="N9" s="120">
        <f>wf!N$9*100/(100-wf!N$10)</f>
        <v>0</v>
      </c>
      <c r="O9" s="120">
        <f>wf!O$9*100/(100-wf!O$10)</f>
        <v>0</v>
      </c>
      <c r="P9" s="120">
        <f>wf!P$9*100/(100-wf!P$10)</f>
        <v>0</v>
      </c>
      <c r="Q9" s="120">
        <f>wf!Q$9*100/(100-wf!Q$10)</f>
        <v>0</v>
      </c>
      <c r="R9" s="120">
        <f>wf!R$9*100/(100-wf!R$10)</f>
        <v>0</v>
      </c>
      <c r="S9" s="120">
        <f>wf!S$9*100/(100-wf!S$10)</f>
        <v>0</v>
      </c>
      <c r="T9" s="120">
        <f>wf!T$9*100/(100-wf!T$10)</f>
        <v>0</v>
      </c>
      <c r="U9" s="120">
        <f>wf!U$9*100/(100-wf!U$10)</f>
        <v>0</v>
      </c>
      <c r="V9" s="120">
        <f>wf!V$9*100/(100-wf!V$10)</f>
        <v>0</v>
      </c>
      <c r="W9" s="120">
        <f>wf!W$9*100/(100-wf!W$10)</f>
        <v>0</v>
      </c>
      <c r="X9" s="120">
        <f>wf!X$9*100/(100-wf!X$10)</f>
        <v>0</v>
      </c>
      <c r="Y9" s="120">
        <f>wf!Y$9*100/(100-wf!Y$10)</f>
        <v>0</v>
      </c>
      <c r="Z9" s="120">
        <f>wf!Z$9*100/(100-wf!Z$10)</f>
        <v>0</v>
      </c>
    </row>
    <row r="10" spans="1:26" s="2" customFormat="1" ht="12.75" customHeight="1" x14ac:dyDescent="0.2">
      <c r="B10" s="7" t="s">
        <v>7</v>
      </c>
      <c r="C10" s="119">
        <f>SUM(C4:C9)</f>
        <v>100</v>
      </c>
      <c r="D10" s="119">
        <f t="shared" ref="D10:Z10" si="0">SUM(D4:D9)</f>
        <v>99.999999999999986</v>
      </c>
      <c r="E10" s="119">
        <f t="shared" si="0"/>
        <v>100.00000000000003</v>
      </c>
      <c r="F10" s="119">
        <f t="shared" si="0"/>
        <v>99.999999999999986</v>
      </c>
      <c r="G10" s="119">
        <f t="shared" si="0"/>
        <v>100.00000000000001</v>
      </c>
      <c r="H10" s="119">
        <f t="shared" si="0"/>
        <v>100</v>
      </c>
      <c r="I10" s="119">
        <f t="shared" si="0"/>
        <v>100</v>
      </c>
      <c r="J10" s="119">
        <f t="shared" si="0"/>
        <v>100</v>
      </c>
      <c r="K10" s="119">
        <f t="shared" si="0"/>
        <v>100</v>
      </c>
      <c r="L10" s="119">
        <f t="shared" si="0"/>
        <v>100</v>
      </c>
      <c r="M10" s="119">
        <f t="shared" si="0"/>
        <v>100</v>
      </c>
      <c r="N10" s="119">
        <f t="shared" si="0"/>
        <v>100</v>
      </c>
      <c r="O10" s="119">
        <f t="shared" si="0"/>
        <v>100</v>
      </c>
      <c r="P10" s="119">
        <f t="shared" si="0"/>
        <v>100</v>
      </c>
      <c r="Q10" s="119">
        <f t="shared" si="0"/>
        <v>100</v>
      </c>
      <c r="R10" s="119">
        <f t="shared" si="0"/>
        <v>100</v>
      </c>
      <c r="S10" s="119">
        <f t="shared" si="0"/>
        <v>100</v>
      </c>
      <c r="T10" s="119">
        <f t="shared" si="0"/>
        <v>100</v>
      </c>
      <c r="U10" s="119">
        <f t="shared" si="0"/>
        <v>100</v>
      </c>
      <c r="V10" s="119">
        <f t="shared" si="0"/>
        <v>100</v>
      </c>
      <c r="W10" s="119">
        <f t="shared" si="0"/>
        <v>100</v>
      </c>
      <c r="X10" s="119">
        <f t="shared" si="0"/>
        <v>100</v>
      </c>
      <c r="Y10" s="119">
        <f t="shared" si="0"/>
        <v>100</v>
      </c>
      <c r="Z10" s="119">
        <f t="shared" si="0"/>
        <v>100</v>
      </c>
    </row>
    <row r="11" spans="1:26" s="2" customFormat="1" ht="30" customHeight="1" x14ac:dyDescent="0.2">
      <c r="A11" s="194" t="s">
        <v>191</v>
      </c>
      <c r="B11" s="195"/>
    </row>
    <row r="12" spans="1:26" x14ac:dyDescent="0.2">
      <c r="A12" s="2"/>
      <c r="B12" s="7" t="s">
        <v>16</v>
      </c>
      <c r="C12" s="8">
        <f>wf!C$13*100/(100-wf!C$10)</f>
        <v>19035.86740562585</v>
      </c>
      <c r="D12" s="8">
        <f>wf!D$13*100/(100-wf!D$10)</f>
        <v>19858.289048661038</v>
      </c>
      <c r="E12" s="8">
        <f>wf!E$13*100/(100-wf!E$10)</f>
        <v>19673.414606867242</v>
      </c>
      <c r="F12" s="8">
        <f>wf!F$13*100/(100-wf!F$10)</f>
        <v>19035.86740562585</v>
      </c>
      <c r="G12" s="8">
        <f>wf!G$13*100/(100-wf!G$10)</f>
        <v>45400.136200408611</v>
      </c>
      <c r="H12" s="8">
        <f>wf!H$13*100/(100-wf!H$10)</f>
        <v>45400.136200408611</v>
      </c>
      <c r="I12" s="8">
        <f>wf!I$13*100/(100-wf!I$10)</f>
        <v>52086.075949367092</v>
      </c>
      <c r="J12" s="8">
        <f>wf!J$13*100/(100-wf!J$10)</f>
        <v>50253.114100647726</v>
      </c>
      <c r="K12" s="8">
        <f>wf!K$13*100/(100-wf!K$10)</f>
        <v>0</v>
      </c>
      <c r="L12" s="8">
        <f>wf!L$13*100/(100-wf!L$10)</f>
        <v>0</v>
      </c>
      <c r="M12" s="8">
        <f>wf!M$13*100/(100-wf!M$10)</f>
        <v>0</v>
      </c>
      <c r="N12" s="8">
        <f>wf!N$13*100/(100-wf!N$10)</f>
        <v>0</v>
      </c>
      <c r="O12" s="8">
        <f>wf!O$13*100/(100-wf!O$10)</f>
        <v>0</v>
      </c>
      <c r="P12" s="8">
        <f>wf!P$13*100/(100-wf!P$10)</f>
        <v>0</v>
      </c>
      <c r="Q12" s="8">
        <f>wf!Q$13*100/(100-wf!Q$10)</f>
        <v>0</v>
      </c>
      <c r="R12" s="8">
        <f>wf!R$13*100/(100-wf!R$10)</f>
        <v>0</v>
      </c>
      <c r="S12" s="8">
        <f>wf!S$13*100/(100-wf!S$10)</f>
        <v>0</v>
      </c>
      <c r="T12" s="8">
        <f>wf!T$13*100/(100-wf!T$10)</f>
        <v>0</v>
      </c>
      <c r="U12" s="8">
        <f>wf!U$13*100/(100-wf!U$10)</f>
        <v>0</v>
      </c>
      <c r="V12" s="8">
        <f>wf!V$13*100/(100-wf!V$10)</f>
        <v>0</v>
      </c>
      <c r="W12" s="8">
        <f>wf!W$13*100/(100-wf!W$10)</f>
        <v>0</v>
      </c>
      <c r="X12" s="8">
        <f>wf!X$13*100/(100-wf!X$10)</f>
        <v>0</v>
      </c>
      <c r="Y12" s="8">
        <f>wf!Y$13*100/(100-wf!Y$10)</f>
        <v>0</v>
      </c>
      <c r="Z12" s="8">
        <f>wf!Z$13*100/(100-wf!Z$10)</f>
        <v>0</v>
      </c>
    </row>
    <row r="13" spans="1:26" s="6" customFormat="1" x14ac:dyDescent="0.2">
      <c r="A13" s="50"/>
      <c r="B13" s="7" t="s">
        <v>17</v>
      </c>
      <c r="C13" s="8">
        <f>wf!C$14*100/(100-wf!C$10)</f>
        <v>17696.015410563446</v>
      </c>
      <c r="D13" s="8">
        <f>wf!D$14*100/(100-wf!D$10)</f>
        <v>18630.408286307145</v>
      </c>
      <c r="E13" s="8">
        <f>wf!E$14*100/(100-wf!E$10)</f>
        <v>18024.532987499148</v>
      </c>
      <c r="F13" s="8">
        <f>wf!F$14*100/(100-wf!F$10)</f>
        <v>17696.032141714757</v>
      </c>
      <c r="G13" s="8">
        <f>wf!G$14*100/(100-wf!G$10)</f>
        <v>42579.20246083141</v>
      </c>
      <c r="H13" s="8">
        <f>wf!H$14*100/(100-wf!H$10)</f>
        <v>42579.20246083141</v>
      </c>
      <c r="I13" s="8">
        <f>wf!I$14*100/(100-wf!I$10)</f>
        <v>46727.782492344588</v>
      </c>
      <c r="J13" s="8">
        <f>wf!J$14*100/(100-wf!J$10)</f>
        <v>46417.79919815129</v>
      </c>
      <c r="K13" s="8">
        <f>wf!K$14*100/(100-wf!K$10)</f>
        <v>-80</v>
      </c>
      <c r="L13" s="8">
        <f>wf!L$14*100/(100-wf!L$10)</f>
        <v>-80</v>
      </c>
      <c r="M13" s="8">
        <f>wf!M$14*100/(100-wf!M$10)</f>
        <v>-80</v>
      </c>
      <c r="N13" s="8">
        <f>wf!N$14*100/(100-wf!N$10)</f>
        <v>-80</v>
      </c>
      <c r="O13" s="8">
        <f>wf!O$14*100/(100-wf!O$10)</f>
        <v>-80</v>
      </c>
      <c r="P13" s="8">
        <f>wf!P$14*100/(100-wf!P$10)</f>
        <v>-80</v>
      </c>
      <c r="Q13" s="8">
        <f>wf!Q$14*100/(100-wf!Q$10)</f>
        <v>-80</v>
      </c>
      <c r="R13" s="8">
        <f>wf!R$14*100/(100-wf!R$10)</f>
        <v>-80</v>
      </c>
      <c r="S13" s="8">
        <f>wf!S$14*100/(100-wf!S$10)</f>
        <v>-80</v>
      </c>
      <c r="T13" s="8">
        <f>wf!T$14*100/(100-wf!T$10)</f>
        <v>-80</v>
      </c>
      <c r="U13" s="8">
        <f>wf!U$14*100/(100-wf!U$10)</f>
        <v>-80</v>
      </c>
      <c r="V13" s="8">
        <f>wf!V$14*100/(100-wf!V$10)</f>
        <v>-80</v>
      </c>
      <c r="W13" s="8">
        <f>wf!W$14*100/(100-wf!W$10)</f>
        <v>-80</v>
      </c>
      <c r="X13" s="8">
        <f>wf!X$14*100/(100-wf!X$10)</f>
        <v>-80</v>
      </c>
      <c r="Y13" s="8">
        <f>wf!Y$14*100/(100-wf!Y$10)</f>
        <v>-80</v>
      </c>
      <c r="Z13" s="8">
        <f>wf!Z$14*100/(100-wf!Z$10)</f>
        <v>-80</v>
      </c>
    </row>
  </sheetData>
  <mergeCells count="2">
    <mergeCell ref="A1:B1"/>
    <mergeCell ref="A11:B11"/>
  </mergeCell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4"/>
  <sheetViews>
    <sheetView tabSelected="1" workbookViewId="0">
      <selection activeCell="J65" sqref="J65"/>
    </sheetView>
  </sheetViews>
  <sheetFormatPr baseColWidth="10" defaultColWidth="11.42578125" defaultRowHeight="12.75" x14ac:dyDescent="0.2"/>
  <cols>
    <col min="1" max="1" width="14.42578125" style="5" customWidth="1"/>
    <col min="2" max="2" width="30.28515625" style="16" bestFit="1" customWidth="1"/>
    <col min="3" max="17" width="12.5703125" style="5" customWidth="1"/>
    <col min="18" max="16384" width="11.42578125" style="5"/>
  </cols>
  <sheetData>
    <row r="1" spans="1:10" s="38" customFormat="1" ht="50.25" customHeight="1" x14ac:dyDescent="0.2">
      <c r="A1" s="197" t="s">
        <v>192</v>
      </c>
      <c r="B1" s="197"/>
      <c r="C1" s="112">
        <f>an!C1</f>
        <v>40074</v>
      </c>
      <c r="D1" s="112">
        <f>an!D1</f>
        <v>40075</v>
      </c>
      <c r="E1" s="112">
        <f>an!E1</f>
        <v>40076</v>
      </c>
      <c r="F1" s="112">
        <f>an!F1</f>
        <v>43898</v>
      </c>
      <c r="G1" s="112">
        <f>an!G1</f>
        <v>44704</v>
      </c>
      <c r="H1" s="112">
        <f>an!H1</f>
        <v>44704</v>
      </c>
      <c r="I1" s="112">
        <f>an!I1</f>
        <v>44704</v>
      </c>
      <c r="J1" s="112">
        <f>an!J1</f>
        <v>44704</v>
      </c>
    </row>
    <row r="2" spans="1:10" s="38" customFormat="1" ht="42" customHeight="1" x14ac:dyDescent="0.2">
      <c r="B2" s="40" t="s">
        <v>175</v>
      </c>
      <c r="C2" s="113" t="str">
        <f>an!C2</f>
        <v>Buche 22cm</v>
      </c>
      <c r="D2" s="113" t="str">
        <f>an!D2</f>
        <v>Holzpellets</v>
      </c>
      <c r="E2" s="113" t="str">
        <f>an!E2</f>
        <v>Heupellets</v>
      </c>
      <c r="F2" s="113" t="str">
        <f>an!F2</f>
        <v>Hackschnitzel</v>
      </c>
      <c r="G2" s="113" t="str">
        <f>an!G2</f>
        <v>HEL Std</v>
      </c>
      <c r="H2" s="113" t="str">
        <f>an!H2</f>
        <v>HEL S-arm</v>
      </c>
      <c r="I2" s="113" t="str">
        <f>an!I2</f>
        <v>Erdgas H</v>
      </c>
      <c r="J2" s="113" t="str">
        <f>an!J2</f>
        <v>Flüssiggas</v>
      </c>
    </row>
    <row r="3" spans="1:10" s="53" customFormat="1" ht="8.25" customHeight="1" x14ac:dyDescent="0.2">
      <c r="B3" s="58"/>
      <c r="C3" s="59"/>
      <c r="D3" s="59"/>
      <c r="E3" s="59"/>
      <c r="F3" s="59"/>
      <c r="G3" s="59"/>
      <c r="H3" s="59"/>
      <c r="I3" s="59"/>
      <c r="J3" s="59"/>
    </row>
    <row r="4" spans="1:10" s="38" customFormat="1" ht="42" customHeight="1" x14ac:dyDescent="0.2">
      <c r="B4" s="40" t="s">
        <v>110</v>
      </c>
      <c r="C4" s="113" t="str">
        <f>an!C3</f>
        <v>biogen</v>
      </c>
      <c r="D4" s="113" t="str">
        <f>an!D3</f>
        <v>biogen</v>
      </c>
      <c r="E4" s="113" t="str">
        <f>an!E3</f>
        <v>biogen</v>
      </c>
      <c r="F4" s="113" t="str">
        <f>an!F3</f>
        <v>biogen</v>
      </c>
      <c r="G4" s="113" t="str">
        <f>an!G3</f>
        <v>fossil</v>
      </c>
      <c r="H4" s="113" t="str">
        <f>an!H3</f>
        <v>fossil</v>
      </c>
      <c r="I4" s="113" t="str">
        <f>an!I3</f>
        <v>fossil</v>
      </c>
      <c r="J4" s="113" t="str">
        <f>an!J3</f>
        <v>fossil</v>
      </c>
    </row>
    <row r="5" spans="1:10" s="38" customFormat="1" ht="47.45" customHeight="1" x14ac:dyDescent="0.2">
      <c r="B5" s="40" t="s">
        <v>10</v>
      </c>
      <c r="C5" s="113"/>
      <c r="D5" s="113"/>
      <c r="E5" s="113"/>
      <c r="F5" s="113"/>
      <c r="G5" s="113" t="str">
        <f>an!G4</f>
        <v>https://www.aral.de/de/global/forschung/kraftstoffe/heizoel.html#accordion_01</v>
      </c>
      <c r="H5" s="113" t="str">
        <f>an!H4</f>
        <v>https://www.aral.de/de/global/forschung/kraftstoffe/heizoel.html#accordion_01</v>
      </c>
      <c r="I5" s="113" t="str">
        <f>an!I4</f>
        <v>https://www.bundesnetzagentur.de/DE/Vportal/Energie/UmstellungGas/start.html</v>
      </c>
      <c r="J5" s="113" t="str">
        <f>an!J4</f>
        <v>Struschka et al. 2016
Emissionen Flüssiggasfeuerung</v>
      </c>
    </row>
    <row r="6" spans="1:10" s="38" customFormat="1" ht="42" customHeight="1" x14ac:dyDescent="0.2">
      <c r="B6" s="42" t="s">
        <v>0</v>
      </c>
      <c r="C6" s="113" t="str">
        <f>an!C5</f>
        <v>Stückholz</v>
      </c>
      <c r="D6" s="113" t="str">
        <f>an!D5</f>
        <v>Holzpellets</v>
      </c>
      <c r="E6" s="113" t="str">
        <f>an!E5</f>
        <v>Heupellets</v>
      </c>
      <c r="F6" s="113">
        <f>an!F5</f>
        <v>0</v>
      </c>
      <c r="G6" s="113">
        <f>an!G5</f>
        <v>0</v>
      </c>
      <c r="H6" s="113">
        <f>an!H5</f>
        <v>0</v>
      </c>
      <c r="I6" s="113">
        <f>an!I5</f>
        <v>0</v>
      </c>
      <c r="J6" s="113">
        <f>an!J5</f>
        <v>0</v>
      </c>
    </row>
    <row r="7" spans="1:10" s="38" customFormat="1" ht="42" customHeight="1" x14ac:dyDescent="0.2">
      <c r="B7" s="40" t="s">
        <v>1</v>
      </c>
      <c r="C7" s="113">
        <f>an!C6</f>
        <v>40077</v>
      </c>
      <c r="D7" s="113">
        <f>an!D6</f>
        <v>40078</v>
      </c>
      <c r="E7" s="113">
        <f>an!E6</f>
        <v>40079</v>
      </c>
      <c r="F7" s="113">
        <f>an!F6</f>
        <v>43898</v>
      </c>
      <c r="G7" s="113">
        <f>an!G6</f>
        <v>0</v>
      </c>
      <c r="H7" s="113">
        <f>an!H6</f>
        <v>0</v>
      </c>
      <c r="I7" s="113">
        <f>an!I6</f>
        <v>0</v>
      </c>
      <c r="J7" s="113">
        <f>an!J6</f>
        <v>0</v>
      </c>
    </row>
    <row r="8" spans="1:10" s="38" customFormat="1" ht="42" customHeight="1" x14ac:dyDescent="0.2">
      <c r="B8" s="40" t="s">
        <v>2</v>
      </c>
      <c r="C8" s="113" t="str">
        <f>an!C7</f>
        <v>2009 / 207 / 1765</v>
      </c>
      <c r="D8" s="113" t="str">
        <f>an!D7</f>
        <v>2010 / 207 / 1765</v>
      </c>
      <c r="E8" s="113" t="str">
        <f>an!E7</f>
        <v>2011 / 207 / 1765</v>
      </c>
      <c r="F8" s="113">
        <f>an!F7</f>
        <v>0</v>
      </c>
      <c r="G8" s="113">
        <f>an!G7</f>
        <v>0</v>
      </c>
      <c r="H8" s="113">
        <f>an!H7</f>
        <v>0</v>
      </c>
      <c r="I8" s="113">
        <f>an!I7</f>
        <v>0</v>
      </c>
      <c r="J8" s="113">
        <f>an!J7</f>
        <v>0</v>
      </c>
    </row>
    <row r="9" spans="1:10" s="53" customFormat="1" ht="12.75" customHeight="1" x14ac:dyDescent="0.2">
      <c r="B9" s="61"/>
      <c r="C9" s="69"/>
      <c r="D9" s="69"/>
      <c r="E9" s="69"/>
      <c r="F9" s="69"/>
      <c r="G9" s="69"/>
      <c r="H9" s="69"/>
      <c r="I9" s="69"/>
      <c r="J9" s="69"/>
    </row>
    <row r="10" spans="1:10" ht="24.6" customHeight="1" x14ac:dyDescent="0.2">
      <c r="A10" s="164" t="s">
        <v>229</v>
      </c>
      <c r="B10" s="17" t="s">
        <v>281</v>
      </c>
      <c r="C10" s="168">
        <v>13</v>
      </c>
      <c r="D10" s="168">
        <v>13</v>
      </c>
      <c r="E10" s="168">
        <v>13</v>
      </c>
      <c r="F10" s="168">
        <v>13</v>
      </c>
      <c r="G10" s="168">
        <v>3</v>
      </c>
      <c r="H10" s="168">
        <v>3</v>
      </c>
      <c r="I10" s="168">
        <v>3</v>
      </c>
      <c r="J10" s="168">
        <v>4</v>
      </c>
    </row>
    <row r="11" spans="1:10" ht="22.15" customHeight="1" x14ac:dyDescent="0.2">
      <c r="B11" s="17" t="s">
        <v>284</v>
      </c>
      <c r="C11" s="159">
        <f>1+C$17*C$10/(C$15*(Grundtab!$B$1*100-C$10))</f>
        <v>2.6263921981789036</v>
      </c>
      <c r="D11" s="159">
        <f>1+D$17*D$10/(D$15*(Grundtab!$B$1*100-D$10))</f>
        <v>2.6340712789380434</v>
      </c>
      <c r="E11" s="159">
        <f>1+E$17*E$10/(E$15*(Grundtab!$B$1*100-E$10))</f>
        <v>2.5965387823279293</v>
      </c>
      <c r="F11" s="159">
        <f>1+F$17*F$10/(F$15*(Grundtab!$B$1*100-F$10))</f>
        <v>2.6263865480898887</v>
      </c>
      <c r="G11" s="159">
        <f>1+G$17*G$10/(G$15*(Grundtab!$B$1*100-G$10))</f>
        <v>1.1561855228551061</v>
      </c>
      <c r="H11" s="159">
        <f>1+H$17*H$10/(H$15*(Grundtab!$B$1*100-H$10))</f>
        <v>1.1561855745135081</v>
      </c>
      <c r="I11" s="159">
        <f>1+I$17*I$10/(I$15*(Grundtab!$B$1*100-I$10))</f>
        <v>1.1495506173069798</v>
      </c>
      <c r="J11" s="159">
        <f>1+J$17*J$10/(J$15*(Grundtab!$B$1*100-J$10))</f>
        <v>1.2164295517280443</v>
      </c>
    </row>
    <row r="12" spans="1:10" ht="24.75" customHeight="1" x14ac:dyDescent="0.2">
      <c r="A12" s="75" t="s">
        <v>259</v>
      </c>
      <c r="B12" s="17" t="s">
        <v>258</v>
      </c>
      <c r="C12" s="147">
        <v>5</v>
      </c>
      <c r="D12" s="147">
        <v>18</v>
      </c>
      <c r="E12" s="147">
        <v>100</v>
      </c>
      <c r="F12" s="148">
        <v>100</v>
      </c>
      <c r="G12" s="148">
        <v>70</v>
      </c>
      <c r="H12" s="148">
        <v>400</v>
      </c>
      <c r="I12" s="148">
        <v>400</v>
      </c>
      <c r="J12" s="148">
        <v>400</v>
      </c>
    </row>
    <row r="13" spans="1:10" ht="24.6" customHeight="1" x14ac:dyDescent="0.2">
      <c r="A13" s="75" t="s">
        <v>263</v>
      </c>
      <c r="B13" s="17" t="s">
        <v>221</v>
      </c>
      <c r="C13" s="124">
        <f>C$12*3600/roh!C$23</f>
        <v>1.222623596332622</v>
      </c>
      <c r="D13" s="124">
        <f>D$12*3600/roh!D$23</f>
        <v>4.1441879692371524</v>
      </c>
      <c r="E13" s="124">
        <f>E$12*3600/roh!E$23</f>
        <v>24.217400237065998</v>
      </c>
      <c r="F13" s="124">
        <f>F$12*3600/roh!F$23</f>
        <v>31.325678864693625</v>
      </c>
      <c r="G13" s="124">
        <f>G$12*3600/roh!G$23</f>
        <v>5.9184007767988707</v>
      </c>
      <c r="H13" s="124">
        <f>H$12*3600/roh!H$23</f>
        <v>33.819433010279262</v>
      </c>
      <c r="I13" s="124">
        <f>I$12*3600/roh!I$23</f>
        <v>30.816784430887882</v>
      </c>
      <c r="J13" s="124">
        <f>J$12*3600/roh!J$23</f>
        <v>31.352609575379624</v>
      </c>
    </row>
    <row r="14" spans="1:10" s="77" customFormat="1" ht="24.75" customHeight="1" x14ac:dyDescent="0.2">
      <c r="A14" s="83"/>
      <c r="B14" s="78"/>
    </row>
    <row r="15" spans="1:10" ht="30" customHeight="1" x14ac:dyDescent="0.2">
      <c r="A15" s="199" t="s">
        <v>278</v>
      </c>
      <c r="B15" s="73" t="s">
        <v>215</v>
      </c>
      <c r="C15" s="151">
        <f>Grundtab!$B$9*1000*(Grundtab!$B$22/Grundtab!$B$31*roh!C$13/100+Grundtab!$B$23/Grundtab!$B$32*roh!C$14/100+Grundtab!$B$24/Grundtab!$B$34*roh!C$17/100+Grundtab!$B$27/Grundtab!$B$33*roh!C$15/100)</f>
        <v>3.8099409528152064</v>
      </c>
      <c r="D15" s="151">
        <f>Grundtab!$B$9*1000*(Grundtab!$B$22/Grundtab!$B$31*roh!D$13/100+Grundtab!$B$23/Grundtab!$B$32*roh!D$14/100+Grundtab!$B$24/Grundtab!$B$34*roh!D$17/100+Grundtab!$B$27/Grundtab!$B$33*roh!D$15/100)</f>
        <v>3.8865869546674507</v>
      </c>
      <c r="E15" s="151">
        <f>Grundtab!$B$9*1000*(Grundtab!$B$22/Grundtab!$B$31*roh!E$13/100+Grundtab!$B$23/Grundtab!$B$32*roh!E$14/100+Grundtab!$B$24/Grundtab!$B$34*roh!E$17/100+Grundtab!$B$27/Grundtab!$B$33*roh!E$15/100)</f>
        <v>4.16175304935408</v>
      </c>
      <c r="F15" s="151">
        <f>Grundtab!$B$9*1000*(Grundtab!$B$22/Grundtab!$B$31*roh!F$13/100+Grundtab!$B$23/Grundtab!$B$32*roh!F$14/100+Grundtab!$B$24/Grundtab!$B$34*roh!F$17/100+Grundtab!$B$27/Grundtab!$B$33*roh!F$15/100)</f>
        <v>3.0961068982504689</v>
      </c>
      <c r="G15" s="151">
        <f>Grundtab!$B$9*1000*(Grundtab!$B$22/Grundtab!$B$31*roh!G$13/100+Grundtab!$B$23/Grundtab!$B$32*roh!G$14/100+Grundtab!$B$24/Grundtab!$B$34*roh!G$17/100+Grundtab!$B$27/Grundtab!$B$33*roh!G$15/100)</f>
        <v>11.254374820219317</v>
      </c>
      <c r="H15" s="151">
        <f>Grundtab!$B$9*1000*(Grundtab!$B$22/Grundtab!$B$31*roh!H$13/100+Grundtab!$B$23/Grundtab!$B$32*roh!H$14/100+Grundtab!$B$24/Grundtab!$B$34*roh!H$17/100+Grundtab!$B$27/Grundtab!$B$33*roh!H$15/100)</f>
        <v>11.254427756973483</v>
      </c>
      <c r="I15" s="151">
        <f>Grundtab!$B$9*1000*(Grundtab!$B$22/Grundtab!$B$31*roh!I$13/100+Grundtab!$B$23/Grundtab!$B$32*roh!I$14/100+Grundtab!$B$24/Grundtab!$B$34*roh!I$17/100+Grundtab!$B$27/Grundtab!$B$33*roh!I$15/100)</f>
        <v>13.081776271151217</v>
      </c>
      <c r="J15" s="151">
        <f>Grundtab!$B$9*1000*(Grundtab!$B$22/Grundtab!$B$31*roh!J$13/100+Grundtab!$B$23/Grundtab!$B$32*roh!J$14/100+Grundtab!$B$24/Grundtab!$B$34*roh!J$17/100+Grundtab!$B$27/Grundtab!$B$33*roh!J$15/100)</f>
        <v>11.976703808252426</v>
      </c>
    </row>
    <row r="16" spans="1:10" ht="30" customHeight="1" x14ac:dyDescent="0.2">
      <c r="A16" s="199"/>
      <c r="B16" s="17" t="s">
        <v>217</v>
      </c>
      <c r="C16" s="151">
        <f>Grundtab!$B$9*1000*(Grundtab!$D$28/Grundtab!$B$42*roh!C$12/100+Grundtab!$D$22/Grundtab!$B$31*roh!C$13/100+Grundtab!$D$23/Grundtab!$B$32*roh!C$14/100+Grundtab!$D$24/Grundtab!$B$34*roh!C$17/100+Grundtab!$D$29/Grundtab!$B$35*roh!C$16/100+Grundtab!$D$27/Grundtab!$B$33*roh!C$15/100)</f>
        <v>4.5408730435734919</v>
      </c>
      <c r="D16" s="151">
        <f>Grundtab!$B$9*1000*(Grundtab!$D$28/Grundtab!$B$42*roh!D$12/100+Grundtab!$D$22/Grundtab!$B$31*roh!D$13/100+Grundtab!$D$23/Grundtab!$B$32*roh!D$14/100+Grundtab!$D$24/Grundtab!$B$34*roh!D$17/100+Grundtab!$D$29/Grundtab!$B$35*roh!D$16/100+Grundtab!$D$27/Grundtab!$B$33*roh!D$15/100)</f>
        <v>4.5906193151452888</v>
      </c>
      <c r="E16" s="151">
        <f>Grundtab!$B$9*1000*(Grundtab!$D$28/Grundtab!$B$42*roh!E$12/100+Grundtab!$D$22/Grundtab!$B$31*roh!E$13/100+Grundtab!$D$23/Grundtab!$B$32*roh!E$14/100+Grundtab!$D$24/Grundtab!$B$34*roh!E$17/100+Grundtab!$D$29/Grundtab!$B$35*roh!E$16/100+Grundtab!$D$27/Grundtab!$B$33*roh!E$15/100)</f>
        <v>4.8640388204085268</v>
      </c>
      <c r="F16" s="151">
        <f>Grundtab!$B$9*1000*(Grundtab!$D$28/Grundtab!$B$42*roh!F$12/100+Grundtab!$D$22/Grundtab!$B$31*roh!F$13/100+Grundtab!$D$23/Grundtab!$B$32*roh!F$14/100+Grundtab!$D$24/Grundtab!$B$34*roh!F$17/100+Grundtab!$D$29/Grundtab!$B$35*roh!F$16/100+Grundtab!$D$27/Grundtab!$B$33*roh!F$15/100)</f>
        <v>3.9235924450711548</v>
      </c>
      <c r="G16" s="151">
        <f>Grundtab!$B$9*1000*(Grundtab!$D$28/Grundtab!$B$42*roh!G$12/100+Grundtab!$D$22/Grundtab!$B$31*roh!G$13/100+Grundtab!$D$23/Grundtab!$B$32*roh!G$14/100+Grundtab!$D$24/Grundtab!$B$34*roh!G$17/100+Grundtab!$D$29/Grundtab!$B$35*roh!G$16/100+Grundtab!$D$27/Grundtab!$B$33*roh!G$15/100)</f>
        <v>11.993769927568509</v>
      </c>
      <c r="H16" s="151">
        <f>Grundtab!$B$9*1000*(Grundtab!$D$28/Grundtab!$B$42*roh!H$12/100+Grundtab!$D$22/Grundtab!$B$31*roh!H$13/100+Grundtab!$D$23/Grundtab!$B$32*roh!H$14/100+Grundtab!$D$24/Grundtab!$B$34*roh!H$17/100+Grundtab!$D$29/Grundtab!$B$35*roh!H$16/100+Grundtab!$D$27/Grundtab!$B$33*roh!H$15/100)</f>
        <v>11.993822864322672</v>
      </c>
      <c r="I16" s="151">
        <f>Grundtab!$B$9*1000*(Grundtab!$D$28/Grundtab!$B$42*roh!I$12/100+Grundtab!$D$22/Grundtab!$B$31*roh!I$13/100+Grundtab!$D$23/Grundtab!$B$32*roh!I$14/100+Grundtab!$D$24/Grundtab!$B$34*roh!I$17/100+Grundtab!$D$29/Grundtab!$B$35*roh!I$16/100+Grundtab!$D$27/Grundtab!$B$33*roh!I$15/100)</f>
        <v>14.510717138887317</v>
      </c>
      <c r="J16" s="151">
        <f>Grundtab!$B$9*1000*(Grundtab!$D$28/Grundtab!$B$42*roh!J$12/100+Grundtab!$D$22/Grundtab!$B$31*roh!J$13/100+Grundtab!$D$23/Grundtab!$B$32*roh!J$14/100+Grundtab!$D$24/Grundtab!$B$34*roh!J$17/100+Grundtab!$D$29/Grundtab!$B$35*roh!J$16/100+Grundtab!$D$27/Grundtab!$B$33*roh!J$15/100)</f>
        <v>12.984369126579486</v>
      </c>
    </row>
    <row r="17" spans="1:10" ht="30" customHeight="1" x14ac:dyDescent="0.2">
      <c r="A17" s="199"/>
      <c r="B17" s="17" t="s">
        <v>218</v>
      </c>
      <c r="C17" s="151">
        <f>C$16-Grundtab!$B$9*1000*(Grundtab!$E$28/Grundtab!$B$42*roh!C$12/100+Grundtab!$E$23/Grundtab!$B$32*roh!C$14/100)</f>
        <v>3.7874659372633723</v>
      </c>
      <c r="D17" s="151">
        <f>D$16-Grundtab!$B$9*1000*(Grundtab!$E$28/Grundtab!$B$42*roh!D$12/100+Grundtab!$E$23/Grundtab!$B$32*roh!D$14/100)</f>
        <v>3.8819022368838558</v>
      </c>
      <c r="E17" s="151">
        <f>E$16-Grundtab!$B$9*1000*(Grundtab!$E$28/Grundtab!$B$42*roh!E$12/100+Grundtab!$E$23/Grundtab!$B$32*roh!E$14/100)</f>
        <v>4.0612618121731652</v>
      </c>
      <c r="F17" s="151">
        <f>F$16-Grundtab!$B$9*1000*(Grundtab!$E$28/Grundtab!$B$42*roh!F$12/100+Grundtab!$E$23/Grundtab!$B$32*roh!F$14/100)</f>
        <v>3.0778321299324456</v>
      </c>
      <c r="G17" s="151">
        <f>G$16-Grundtab!$B$9*1000*(Grundtab!$E$28/Grundtab!$B$42*roh!G$12/100+Grundtab!$E$23/Grundtab!$B$32*roh!G$14/100)</f>
        <v>10.51498262673711</v>
      </c>
      <c r="H17" s="151">
        <f>H$16-Grundtab!$B$9*1000*(Grundtab!$E$28/Grundtab!$B$42*roh!H$12/100+Grundtab!$E$23/Grundtab!$B$32*roh!H$14/100)</f>
        <v>10.515035563491272</v>
      </c>
      <c r="I17" s="151">
        <f>I$16-Grundtab!$B$9*1000*(Grundtab!$E$28/Grundtab!$B$42*roh!I$12/100+Grundtab!$E$23/Grundtab!$B$32*roh!I$14/100)</f>
        <v>11.703111322031994</v>
      </c>
      <c r="J17" s="151">
        <f>J$16-Grundtab!$B$9*1000*(Grundtab!$E$28/Grundtab!$B$42*roh!J$12/100+Grundtab!$E$23/Grundtab!$B$32*roh!J$14/100)</f>
        <v>10.981485184107049</v>
      </c>
    </row>
    <row r="18" spans="1:10" s="77" customFormat="1" ht="24.75" customHeight="1" x14ac:dyDescent="0.2">
      <c r="A18" s="83"/>
      <c r="B18" s="78"/>
    </row>
    <row r="19" spans="1:10" ht="30" customHeight="1" x14ac:dyDescent="0.2">
      <c r="A19" s="199" t="s">
        <v>279</v>
      </c>
      <c r="B19" s="73" t="s">
        <v>215</v>
      </c>
      <c r="C19" s="151">
        <f>C$15/roh!C$23*3600</f>
        <v>0.93162474190917288</v>
      </c>
      <c r="D19" s="151">
        <f>D$15/roh!D$23*3600</f>
        <v>0.89481927216260626</v>
      </c>
      <c r="E19" s="151">
        <f>E$15/roh!E$23*3600</f>
        <v>1.0078683928403764</v>
      </c>
      <c r="F19" s="151">
        <f>F$15/roh!F$23*3600</f>
        <v>0.96987650425356853</v>
      </c>
      <c r="G19" s="151">
        <f>G$15/roh!G$23*3600</f>
        <v>0.95154143826245219</v>
      </c>
      <c r="H19" s="151">
        <f>H$15/roh!H$23*3600</f>
        <v>0.95154591398998045</v>
      </c>
      <c r="I19" s="151">
        <f>I$15/roh!I$23*3600</f>
        <v>1.0078456983029285</v>
      </c>
      <c r="J19" s="151">
        <f>J$15/roh!J$23*3600</f>
        <v>0.93875229625025147</v>
      </c>
    </row>
    <row r="20" spans="1:10" ht="30" customHeight="1" x14ac:dyDescent="0.2">
      <c r="A20" s="199"/>
      <c r="B20" s="17" t="s">
        <v>217</v>
      </c>
      <c r="C20" s="151">
        <f>C$16/roh!C$23*3600</f>
        <v>1.1103557062047364</v>
      </c>
      <c r="D20" s="151">
        <f>D$16/roh!D$23*3600</f>
        <v>1.0569105187318224</v>
      </c>
      <c r="E20" s="151">
        <f>E$16/roh!E$23*3600</f>
        <v>1.177943748824597</v>
      </c>
      <c r="F20" s="151">
        <f>F$16/roh!F$23*3600</f>
        <v>1.2290919693023705</v>
      </c>
      <c r="G20" s="151">
        <f>G$16/roh!G$23*3600</f>
        <v>1.0140562465152627</v>
      </c>
      <c r="H20" s="151">
        <f>H$16/roh!H$23*3600</f>
        <v>1.0140607222427909</v>
      </c>
      <c r="I20" s="151">
        <f>I$16/roh!I$23*3600</f>
        <v>1.1179341050167015</v>
      </c>
      <c r="J20" s="151">
        <f>J$16/roh!J$23*3600</f>
        <v>1.0177346395206488</v>
      </c>
    </row>
    <row r="21" spans="1:10" ht="30" customHeight="1" x14ac:dyDescent="0.2">
      <c r="A21" s="199"/>
      <c r="B21" s="17" t="s">
        <v>218</v>
      </c>
      <c r="C21" s="151">
        <f>C$17/roh!C$23*3600</f>
        <v>0.92612904504084992</v>
      </c>
      <c r="D21" s="151">
        <f>D$17/roh!D$23*3600</f>
        <v>0.89374069710271475</v>
      </c>
      <c r="E21" s="151">
        <f>E$17/roh!E$23*3600</f>
        <v>0.98353202772909498</v>
      </c>
      <c r="F21" s="151">
        <f>F$17/roh!F$23*3600</f>
        <v>0.96415180901699771</v>
      </c>
      <c r="G21" s="151">
        <f>G$17/roh!G$23*3600</f>
        <v>0.88902687637296485</v>
      </c>
      <c r="H21" s="151">
        <f>H$17/roh!H$23*3600</f>
        <v>0.88903135210049267</v>
      </c>
      <c r="I21" s="151">
        <f>I$17/roh!I$23*3600</f>
        <v>0.90163064695435813</v>
      </c>
      <c r="J21" s="151">
        <f>J$17/roh!J$23*3600</f>
        <v>0.86074554383781021</v>
      </c>
    </row>
    <row r="22" spans="1:10" ht="30" customHeight="1" x14ac:dyDescent="0.2">
      <c r="A22" s="180"/>
      <c r="B22" s="17" t="s">
        <v>219</v>
      </c>
      <c r="C22" s="151">
        <f>C$20+(C$11-1)*C$19</f>
        <v>2.62554291807625</v>
      </c>
      <c r="D22" s="151">
        <f t="shared" ref="D22:J22" si="0">D$20+(D$11-1)*D$19</f>
        <v>2.5191089912129816</v>
      </c>
      <c r="E22" s="151">
        <f t="shared" si="0"/>
        <v>2.787044725476779</v>
      </c>
      <c r="F22" s="151">
        <f t="shared" si="0"/>
        <v>2.80648606912882</v>
      </c>
      <c r="G22" s="151">
        <f t="shared" si="0"/>
        <v>1.1626732435685834</v>
      </c>
      <c r="H22" s="151">
        <f t="shared" si="0"/>
        <v>1.1626784674952972</v>
      </c>
      <c r="I22" s="151">
        <f t="shared" si="0"/>
        <v>1.2686580513480887</v>
      </c>
      <c r="J22" s="151">
        <f t="shared" si="0"/>
        <v>1.2209083781817629</v>
      </c>
    </row>
    <row r="23" spans="1:10" ht="30" customHeight="1" x14ac:dyDescent="0.2">
      <c r="A23" s="180"/>
      <c r="B23" s="17" t="s">
        <v>220</v>
      </c>
      <c r="C23" s="151">
        <f>C$21+(C$11-1)*C$19</f>
        <v>2.441316256912363</v>
      </c>
      <c r="D23" s="151">
        <f t="shared" ref="D23:J23" si="1">D$21+(D$11-1)*D$19</f>
        <v>2.3559391695838738</v>
      </c>
      <c r="E23" s="151">
        <f t="shared" si="1"/>
        <v>2.5926330043812769</v>
      </c>
      <c r="F23" s="151">
        <f t="shared" si="1"/>
        <v>2.5415459088434473</v>
      </c>
      <c r="G23" s="151">
        <f t="shared" si="1"/>
        <v>1.0376438734262856</v>
      </c>
      <c r="H23" s="151">
        <f t="shared" si="1"/>
        <v>1.037649097352999</v>
      </c>
      <c r="I23" s="151">
        <f t="shared" si="1"/>
        <v>1.0523545932857452</v>
      </c>
      <c r="J23" s="151">
        <f t="shared" si="1"/>
        <v>1.0639192824989245</v>
      </c>
    </row>
    <row r="24" spans="1:10" s="77" customFormat="1" ht="24.75" customHeight="1" x14ac:dyDescent="0.2">
      <c r="A24" s="83"/>
      <c r="B24" s="78"/>
      <c r="C24" s="81"/>
      <c r="D24" s="81"/>
      <c r="E24" s="81"/>
      <c r="F24" s="81"/>
      <c r="G24" s="81"/>
      <c r="H24" s="81"/>
    </row>
    <row r="25" spans="1:10" ht="30" customHeight="1" x14ac:dyDescent="0.2">
      <c r="A25" s="160"/>
      <c r="B25" s="73" t="s">
        <v>282</v>
      </c>
      <c r="C25" s="151">
        <f>(C$17+(C$11-1)*C$15)/roh!C$23*1000</f>
        <v>0.6781434046978787</v>
      </c>
      <c r="D25" s="151">
        <f>(D$17+(D$11-1)*D$15)/roh!D$23*1000</f>
        <v>0.65442754710663165</v>
      </c>
      <c r="E25" s="151">
        <f>(E$17+(E$11-1)*E$15)/roh!E$23*1000</f>
        <v>0.72017583455035461</v>
      </c>
      <c r="F25" s="151">
        <f>(F$17+(F$11-1)*F$15)/roh!F$23*1000</f>
        <v>0.70598497467873544</v>
      </c>
      <c r="G25" s="151">
        <f>(G$17+(G$11-1)*G$15)/roh!G$23*1000</f>
        <v>0.28823440928507932</v>
      </c>
      <c r="H25" s="151">
        <f>(H$17+(H$11-1)*H$15)/roh!H$23*1000</f>
        <v>0.28823586037583304</v>
      </c>
      <c r="I25" s="151">
        <f>(I$17+(I$11-1)*I$15)/roh!I$23*1000</f>
        <v>0.29232072035715145</v>
      </c>
      <c r="J25" s="151">
        <f>(J$17+(J$11-1)*J$15)/roh!J$23*1000</f>
        <v>0.29553313402747899</v>
      </c>
    </row>
    <row r="26" spans="1:10" ht="30" customHeight="1" x14ac:dyDescent="0.2">
      <c r="A26" s="160"/>
      <c r="B26" s="73" t="s">
        <v>283</v>
      </c>
      <c r="C26" s="151">
        <f>(C$16+(C$11-1)*C$15)/roh!C$23*1000</f>
        <v>0.72931747724340268</v>
      </c>
      <c r="D26" s="151">
        <f>(D$16+(D$11-1)*D$15)/roh!D$23*1000</f>
        <v>0.69975249755916147</v>
      </c>
      <c r="E26" s="151">
        <f>(E$16+(E$11-1)*E$15)/roh!E$23*1000</f>
        <v>0.77417909041021626</v>
      </c>
      <c r="F26" s="151">
        <f>(F$16+(F$11-1)*F$15)/roh!F$23*1000</f>
        <v>0.77957946364689445</v>
      </c>
      <c r="G26" s="151">
        <f>(G$16+(G$11-1)*G$15)/roh!G$23*1000</f>
        <v>0.32296478988016208</v>
      </c>
      <c r="H26" s="151">
        <f>(H$16+(H$11-1)*H$15)/roh!H$23*1000</f>
        <v>0.32296624097091581</v>
      </c>
      <c r="I26" s="151">
        <f>(I$16+(I$11-1)*I$15)/roh!I$23*1000</f>
        <v>0.35240501426335791</v>
      </c>
      <c r="J26" s="151">
        <f>(J$16+(J$11-1)*J$15)/roh!J$23*1000</f>
        <v>0.33914121616160081</v>
      </c>
    </row>
    <row r="27" spans="1:10" s="77" customFormat="1" ht="24.75" customHeight="1" x14ac:dyDescent="0.2">
      <c r="A27" s="83"/>
      <c r="B27" s="78"/>
    </row>
    <row r="28" spans="1:10" ht="30" customHeight="1" x14ac:dyDescent="0.2">
      <c r="A28" s="199" t="s">
        <v>222</v>
      </c>
      <c r="B28" s="73" t="s">
        <v>215</v>
      </c>
      <c r="C28" s="151">
        <f>C$13*Grundtab!$B$9*1000*(Grundtab!$B$22/Grundtab!$B$31*roh!C$13/100+Grundtab!$B$23/Grundtab!$B$32*roh!C$14/100+Grundtab!$B$24/Grundtab!$B$34*roh!C$17/100+Grundtab!$B$27/Grundtab!$B$33*roh!C$15/100)</f>
        <v>4.6581237095458636</v>
      </c>
      <c r="D28" s="151">
        <f>D$13*Grundtab!$B$9*1000*(Grundtab!$B$22/Grundtab!$B$31*roh!D$13/100+Grundtab!$B$23/Grundtab!$B$32*roh!D$14/100+Grundtab!$B$24/Grundtab!$B$34*roh!D$17/100+Grundtab!$B$27/Grundtab!$B$33*roh!D$15/100)</f>
        <v>16.106746898926907</v>
      </c>
      <c r="E28" s="151">
        <f>E$13*Grundtab!$B$9*1000*(Grundtab!$B$22/Grundtab!$B$31*roh!E$13/100+Grundtab!$B$23/Grundtab!$B$32*roh!E$14/100+Grundtab!$B$24/Grundtab!$B$34*roh!E$17/100+Grundtab!$B$27/Grundtab!$B$33*roh!E$15/100)</f>
        <v>100.78683928403764</v>
      </c>
      <c r="F28" s="151">
        <f>F$13*Grundtab!$B$9*1000*(Grundtab!$B$22/Grundtab!$B$31*roh!F$13/100+Grundtab!$B$23/Grundtab!$B$32*roh!F$14/100+Grundtab!$B$24/Grundtab!$B$34*roh!F$17/100+Grundtab!$B$27/Grundtab!$B$33*roh!F$15/100)</f>
        <v>96.987650425356833</v>
      </c>
      <c r="G28" s="151">
        <f>G$13*Grundtab!$B$9*1000*(Grundtab!$B$22/Grundtab!$B$31*roh!G$13/100+Grundtab!$B$23/Grundtab!$B$32*roh!G$14/100+Grundtab!$B$24/Grundtab!$B$34*roh!G$17/100+Grundtab!$B$27/Grundtab!$B$33*roh!G$15/100)</f>
        <v>66.607900678371649</v>
      </c>
      <c r="H28" s="151">
        <f>H$13*Grundtab!$B$9*1000*(Grundtab!$B$22/Grundtab!$B$31*roh!H$13/100+Grundtab!$B$23/Grundtab!$B$32*roh!H$14/100+Grundtab!$B$24/Grundtab!$B$34*roh!H$17/100+Grundtab!$B$27/Grundtab!$B$33*roh!H$15/100)</f>
        <v>380.61836559599209</v>
      </c>
      <c r="I28" s="151">
        <f>I$13*Grundtab!$B$9*1000*(Grundtab!$B$22/Grundtab!$B$31*roh!I$13/100+Grundtab!$B$23/Grundtab!$B$32*roh!I$14/100+Grundtab!$B$24/Grundtab!$B$34*roh!I$17/100+Grundtab!$B$27/Grundtab!$B$33*roh!I$15/100)</f>
        <v>403.13827932117135</v>
      </c>
      <c r="J28" s="151">
        <f>J$13*Grundtab!$B$9*1000*(Grundtab!$B$22/Grundtab!$B$31*roh!J$13/100+Grundtab!$B$23/Grundtab!$B$32*roh!J$14/100+Grundtab!$B$24/Grundtab!$B$34*roh!J$17/100+Grundtab!$B$27/Grundtab!$B$33*roh!J$15/100)</f>
        <v>375.50091850010062</v>
      </c>
    </row>
    <row r="29" spans="1:10" ht="30" customHeight="1" x14ac:dyDescent="0.2">
      <c r="A29" s="199"/>
      <c r="B29" s="73" t="s">
        <v>216</v>
      </c>
      <c r="C29" s="151">
        <f t="shared" ref="C29:J29" si="2">C$11*C$28</f>
        <v>12.23405976890343</v>
      </c>
      <c r="D29" s="151">
        <f t="shared" si="2"/>
        <v>42.426319403587762</v>
      </c>
      <c r="E29" s="151">
        <f t="shared" si="2"/>
        <v>261.69693694925581</v>
      </c>
      <c r="F29" s="151">
        <f t="shared" si="2"/>
        <v>254.72706040800176</v>
      </c>
      <c r="G29" s="151">
        <f t="shared" si="2"/>
        <v>77.011090472104101</v>
      </c>
      <c r="H29" s="151">
        <f t="shared" si="2"/>
        <v>440.06546369699458</v>
      </c>
      <c r="I29" s="151">
        <f t="shared" si="2"/>
        <v>463.42785785372621</v>
      </c>
      <c r="J29" s="151">
        <f t="shared" si="2"/>
        <v>456.77041396454632</v>
      </c>
    </row>
    <row r="30" spans="1:10" ht="30" customHeight="1" x14ac:dyDescent="0.2">
      <c r="A30" s="199"/>
      <c r="B30" s="17" t="s">
        <v>217</v>
      </c>
      <c r="C30" s="151">
        <f>C$13*Grundtab!$B$9*1000*(Grundtab!$D$28/Grundtab!$B$42*roh!C$12/100+Grundtab!$D$22/Grundtab!$B$31*roh!C$13/100+Grundtab!$D$23/Grundtab!$B$32*roh!C$14/100+Grundtab!$D$24/Grundtab!$B$34*roh!C$17/100+Grundtab!$D$29/Grundtab!$B$35*roh!C$16/100+Grundtab!$D$27/Grundtab!$B$33*roh!C$15/100)</f>
        <v>5.5517785310236807</v>
      </c>
      <c r="D30" s="151">
        <f>D$13*Grundtab!$B$9*1000*(Grundtab!$D$28/Grundtab!$B$42*roh!D$12/100+Grundtab!$D$22/Grundtab!$B$31*roh!D$13/100+Grundtab!$D$23/Grundtab!$B$32*roh!D$14/100+Grundtab!$D$24/Grundtab!$B$34*roh!D$17/100+Grundtab!$D$29/Grundtab!$B$35*roh!D$16/100+Grundtab!$D$27/Grundtab!$B$33*roh!D$15/100)</f>
        <v>19.024389337172799</v>
      </c>
      <c r="E30" s="151">
        <f>E$13*Grundtab!$B$9*1000*(Grundtab!$D$28/Grundtab!$B$42*roh!E$12/100+Grundtab!$D$22/Grundtab!$B$31*roh!E$13/100+Grundtab!$D$23/Grundtab!$B$32*roh!E$14/100+Grundtab!$D$24/Grundtab!$B$34*roh!E$17/100+Grundtab!$D$29/Grundtab!$B$35*roh!E$16/100+Grundtab!$D$27/Grundtab!$B$33*roh!E$15/100)</f>
        <v>117.79437488245968</v>
      </c>
      <c r="F30" s="151">
        <f>F$13*Grundtab!$B$9*1000*(Grundtab!$D$28/Grundtab!$B$42*roh!F$12/100+Grundtab!$D$22/Grundtab!$B$31*roh!F$13/100+Grundtab!$D$23/Grundtab!$B$32*roh!F$14/100+Grundtab!$D$24/Grundtab!$B$34*roh!F$17/100+Grundtab!$D$29/Grundtab!$B$35*roh!F$16/100+Grundtab!$D$27/Grundtab!$B$33*roh!F$15/100)</f>
        <v>122.90919693023704</v>
      </c>
      <c r="G30" s="151">
        <f>G$13*Grundtab!$B$9*1000*(Grundtab!$D$28/Grundtab!$B$42*roh!G$12/100+Grundtab!$D$22/Grundtab!$B$31*roh!G$13/100+Grundtab!$D$23/Grundtab!$B$32*roh!G$14/100+Grundtab!$D$24/Grundtab!$B$34*roh!G$17/100+Grundtab!$D$29/Grundtab!$B$35*roh!G$16/100+Grundtab!$D$27/Grundtab!$B$33*roh!G$15/100)</f>
        <v>70.983937256068387</v>
      </c>
      <c r="H30" s="151">
        <f>H$13*Grundtab!$B$9*1000*(Grundtab!$D$28/Grundtab!$B$42*roh!H$12/100+Grundtab!$D$22/Grundtab!$B$31*roh!H$13/100+Grundtab!$D$23/Grundtab!$B$32*roh!H$14/100+Grundtab!$D$24/Grundtab!$B$34*roh!H$17/100+Grundtab!$D$29/Grundtab!$B$35*roh!H$16/100+Grundtab!$D$27/Grundtab!$B$33*roh!H$15/100)</f>
        <v>405.62428889711629</v>
      </c>
      <c r="I30" s="151">
        <f>I$13*Grundtab!$B$9*1000*(Grundtab!$D$28/Grundtab!$B$42*roh!I$12/100+Grundtab!$D$22/Grundtab!$B$31*roh!I$13/100+Grundtab!$D$23/Grundtab!$B$32*roh!I$14/100+Grundtab!$D$24/Grundtab!$B$34*roh!I$17/100+Grundtab!$D$29/Grundtab!$B$35*roh!I$16/100+Grundtab!$D$27/Grundtab!$B$33*roh!I$15/100)</f>
        <v>447.17364200668061</v>
      </c>
      <c r="J30" s="151">
        <f>J$13*Grundtab!$B$9*1000*(Grundtab!$D$28/Grundtab!$B$42*roh!J$12/100+Grundtab!$D$22/Grundtab!$B$31*roh!J$13/100+Grundtab!$D$23/Grundtab!$B$32*roh!J$14/100+Grundtab!$D$24/Grundtab!$B$34*roh!J$17/100+Grundtab!$D$29/Grundtab!$B$35*roh!J$16/100+Grundtab!$D$27/Grundtab!$B$33*roh!J$15/100)</f>
        <v>407.09385580825949</v>
      </c>
    </row>
    <row r="31" spans="1:10" ht="30" customHeight="1" x14ac:dyDescent="0.2">
      <c r="A31" s="199"/>
      <c r="B31" s="17" t="s">
        <v>218</v>
      </c>
      <c r="C31" s="151">
        <f>C$30-C$13*Grundtab!$B$9*1000*(Grundtab!$E$28/Grundtab!$B$42*roh!C$12/100+Grundtab!$E$23/Grundtab!$B$32*roh!C$14/100)</f>
        <v>4.6306452252042485</v>
      </c>
      <c r="D31" s="151">
        <f>D$30-D$13*Grundtab!$B$9*1000*(Grundtab!$E$28/Grundtab!$B$42*roh!D$12/100+Grundtab!$E$23/Grundtab!$B$32*roh!D$14/100)</f>
        <v>16.087332547848867</v>
      </c>
      <c r="E31" s="151">
        <f>E$30-E$13*Grundtab!$B$9*1000*(Grundtab!$E$28/Grundtab!$B$42*roh!E$12/100+Grundtab!$E$23/Grundtab!$B$32*roh!E$14/100)</f>
        <v>98.353202772909498</v>
      </c>
      <c r="F31" s="151">
        <f>F$30-F$13*Grundtab!$B$9*1000*(Grundtab!$E$28/Grundtab!$B$42*roh!F$12/100+Grundtab!$E$23/Grundtab!$B$32*roh!F$14/100)</f>
        <v>96.41518090169977</v>
      </c>
      <c r="G31" s="151">
        <f>G$30-G$13*Grundtab!$B$9*1000*(Grundtab!$E$28/Grundtab!$B$42*roh!G$12/100+Grundtab!$E$23/Grundtab!$B$32*roh!G$14/100)</f>
        <v>62.231881346107528</v>
      </c>
      <c r="H31" s="151">
        <f>H$30-H$13*Grundtab!$B$9*1000*(Grundtab!$E$28/Grundtab!$B$42*roh!H$12/100+Grundtab!$E$23/Grundtab!$B$32*roh!H$14/100)</f>
        <v>355.61254084019714</v>
      </c>
      <c r="I31" s="151">
        <f>I$30-I$13*Grundtab!$B$9*1000*(Grundtab!$E$28/Grundtab!$B$42*roh!I$12/100+Grundtab!$E$23/Grundtab!$B$32*roh!I$14/100)</f>
        <v>360.65225878174323</v>
      </c>
      <c r="J31" s="151">
        <f>J$30-J$13*Grundtab!$B$9*1000*(Grundtab!$E$28/Grundtab!$B$42*roh!J$12/100+Grundtab!$E$23/Grundtab!$B$32*roh!J$14/100)</f>
        <v>344.29821753512408</v>
      </c>
    </row>
    <row r="32" spans="1:10" ht="30" customHeight="1" x14ac:dyDescent="0.2">
      <c r="A32" s="199"/>
      <c r="B32" s="17" t="s">
        <v>219</v>
      </c>
      <c r="C32" s="151">
        <f t="shared" ref="C32:J32" si="3">C$30+(C$11-1)*C$28</f>
        <v>13.127714590381245</v>
      </c>
      <c r="D32" s="151">
        <f t="shared" si="3"/>
        <v>45.343961841833654</v>
      </c>
      <c r="E32" s="151">
        <f t="shared" si="3"/>
        <v>278.70447254767782</v>
      </c>
      <c r="F32" s="151">
        <f t="shared" si="3"/>
        <v>280.64860691288197</v>
      </c>
      <c r="G32" s="151">
        <f t="shared" si="3"/>
        <v>81.387127049800839</v>
      </c>
      <c r="H32" s="151">
        <f t="shared" si="3"/>
        <v>465.07138699811878</v>
      </c>
      <c r="I32" s="151">
        <f t="shared" si="3"/>
        <v>507.46322053923546</v>
      </c>
      <c r="J32" s="151">
        <f t="shared" si="3"/>
        <v>488.36335127270519</v>
      </c>
    </row>
    <row r="33" spans="1:10" ht="30" customHeight="1" x14ac:dyDescent="0.2">
      <c r="A33" s="199"/>
      <c r="B33" s="17" t="s">
        <v>220</v>
      </c>
      <c r="C33" s="151">
        <f t="shared" ref="C33:J33" si="4">C$31+(C$11-1)*C$28</f>
        <v>12.206581284561814</v>
      </c>
      <c r="D33" s="151">
        <f t="shared" si="4"/>
        <v>42.406905052509721</v>
      </c>
      <c r="E33" s="151">
        <f t="shared" si="4"/>
        <v>259.26330043812766</v>
      </c>
      <c r="F33" s="151">
        <f t="shared" si="4"/>
        <v>254.15459088434471</v>
      </c>
      <c r="G33" s="151">
        <f t="shared" si="4"/>
        <v>72.63507113983998</v>
      </c>
      <c r="H33" s="151">
        <f t="shared" si="4"/>
        <v>415.05963894119964</v>
      </c>
      <c r="I33" s="151">
        <f t="shared" si="4"/>
        <v>420.94183731429808</v>
      </c>
      <c r="J33" s="151">
        <f t="shared" si="4"/>
        <v>425.56771299956978</v>
      </c>
    </row>
    <row r="34" spans="1:10" s="77" customFormat="1" ht="12" customHeight="1" x14ac:dyDescent="0.2">
      <c r="B34" s="78"/>
      <c r="C34" s="81"/>
      <c r="D34" s="81"/>
      <c r="E34" s="81"/>
      <c r="F34" s="81"/>
      <c r="G34" s="81"/>
      <c r="H34" s="81"/>
      <c r="I34" s="81"/>
      <c r="J34" s="81"/>
    </row>
    <row r="35" spans="1:10" ht="52.5" customHeight="1" x14ac:dyDescent="0.2">
      <c r="B35" s="73" t="s">
        <v>224</v>
      </c>
      <c r="C35" s="142"/>
      <c r="D35" s="142"/>
      <c r="E35" s="142"/>
      <c r="F35" s="142"/>
      <c r="G35" s="142"/>
      <c r="H35" s="142"/>
      <c r="I35" s="142"/>
      <c r="J35" s="142"/>
    </row>
    <row r="36" spans="1:10" ht="15.6" customHeight="1" x14ac:dyDescent="0.2">
      <c r="A36" s="196" t="s">
        <v>229</v>
      </c>
      <c r="B36" s="73" t="s">
        <v>277</v>
      </c>
      <c r="C36" s="159">
        <f>Grundtab!$B$9*1000/Grundtab!$B$31*roh!C$13/C$17</f>
        <v>20.476889542278389</v>
      </c>
      <c r="D36" s="159">
        <f>Grundtab!$B$9*1000/Grundtab!$B$31*roh!D$13/D$17</f>
        <v>20.832180900125323</v>
      </c>
      <c r="E36" s="159">
        <f>Grundtab!$B$9*1000/Grundtab!$B$31*roh!E$13/E$17</f>
        <v>18.714130885712379</v>
      </c>
      <c r="F36" s="159">
        <f>Grundtab!$B$9*1000/Grundtab!$B$31*roh!F$13/F$17</f>
        <v>20.45619198215795</v>
      </c>
      <c r="G36" s="159">
        <f>Grundtab!$B$9*1000/Grundtab!$B$31*roh!G$13/G$17</f>
        <v>15.387016487223658</v>
      </c>
      <c r="H36" s="159">
        <f>Grundtab!$B$9*1000/Grundtab!$B$31*roh!H$13/H$17</f>
        <v>15.387107625253556</v>
      </c>
      <c r="I36" s="159">
        <f>Grundtab!$B$9*1000/Grundtab!$B$31*roh!I$13/I$17</f>
        <v>11.418381937561978</v>
      </c>
      <c r="J36" s="159">
        <f>Grundtab!$B$9*1000/Grundtab!$B$31*roh!J$13/J$17</f>
        <v>13.781576263668544</v>
      </c>
    </row>
    <row r="37" spans="1:10" ht="18.75" customHeight="1" x14ac:dyDescent="0.2">
      <c r="A37" s="196"/>
      <c r="B37" s="17" t="s">
        <v>35</v>
      </c>
      <c r="C37" s="124">
        <f>C$13*Grundtab!$B$9*1000/Grundtab!$B$31*Grundtab!$E$22*roh!C$13/100/C$33*Grundtab!$C$89</f>
        <v>7.7680399266181661</v>
      </c>
      <c r="D37" s="124">
        <f>D$13*Grundtab!$B$9*1000/Grundtab!$B$31*Grundtab!$E$22*roh!D$13/100/D$33*Grundtab!$C$89</f>
        <v>7.9028219914253723</v>
      </c>
      <c r="E37" s="124">
        <f>E$13*Grundtab!$B$9*1000/Grundtab!$B$31*Grundtab!$E$22*roh!E$13/100/E$33*Grundtab!$C$89</f>
        <v>7.0993260774310398</v>
      </c>
      <c r="F37" s="124">
        <f>F$13*Grundtab!$B$9*1000/Grundtab!$B$31*Grundtab!$E$22*roh!F$13/100/F$33*Grundtab!$C$89</f>
        <v>7.7601881738865233</v>
      </c>
      <c r="G37" s="124">
        <f>G$13*Grundtab!$B$9*1000/Grundtab!$B$31*Grundtab!$E$22*roh!G$13/100/G$33*Grundtab!$C$89</f>
        <v>13.183204329213968</v>
      </c>
      <c r="H37" s="124">
        <f>H$13*Grundtab!$B$9*1000/Grundtab!$B$31*Grundtab!$E$22*roh!H$13/100/H$33*Grundtab!$C$89</f>
        <v>13.183282413959722</v>
      </c>
      <c r="I37" s="124">
        <f>I$13*Grundtab!$B$9*1000/Grundtab!$B$31*Grundtab!$E$22*roh!I$13/100/I$33*Grundtab!$C$89</f>
        <v>9.7829791965763047</v>
      </c>
      <c r="J37" s="124">
        <f>J$13*Grundtab!$B$9*1000/Grundtab!$B$31*Grundtab!$E$22*roh!J$13/100/J$33*Grundtab!$C$89</f>
        <v>11.1497465561027</v>
      </c>
    </row>
    <row r="38" spans="1:10" ht="18.75" customHeight="1" x14ac:dyDescent="0.2">
      <c r="A38" s="196"/>
      <c r="B38" s="17" t="s">
        <v>63</v>
      </c>
      <c r="C38" s="143">
        <f>C$13*Grundtab!$B$9*1000/Grundtab!$B$34*Grundtab!$E$24*roh!C$17/100/C$33*Grundtab!$C$89</f>
        <v>0</v>
      </c>
      <c r="D38" s="143">
        <f>D$13*Grundtab!$B$9*1000/Grundtab!$B$34*Grundtab!$E$24*roh!D$17/100/D$33*Grundtab!$C$89</f>
        <v>0</v>
      </c>
      <c r="E38" s="143">
        <f>E$13*Grundtab!$B$9*1000/Grundtab!$B$34*Grundtab!$E$24*roh!E$17/100/E$33*Grundtab!$C$89</f>
        <v>1.036819334784719E-2</v>
      </c>
      <c r="F38" s="143">
        <f>F$13*Grundtab!$B$9*1000/Grundtab!$B$34*Grundtab!$E$24*roh!F$17/100/F$33*Grundtab!$C$89</f>
        <v>6.2241335556508675E-4</v>
      </c>
      <c r="G38" s="143">
        <f>G$13*Grundtab!$B$9*1000/Grundtab!$B$34*Grundtab!$E$24*roh!G$17/100/G$33*Grundtab!$C$89</f>
        <v>5.695501414882246E-5</v>
      </c>
      <c r="H38" s="143">
        <f>H$13*Grundtab!$B$9*1000/Grundtab!$B$34*Grundtab!$E$24*roh!H$17/100/H$33*Grundtab!$C$89</f>
        <v>2.8477363707631143E-6</v>
      </c>
      <c r="I38" s="143">
        <f>I$13*Grundtab!$B$9*1000/Grundtab!$B$34*Grundtab!$E$24*roh!I$17/100/I$33*Grundtab!$C$89</f>
        <v>0</v>
      </c>
      <c r="J38" s="143">
        <f>J$13*Grundtab!$B$9*1000/Grundtab!$B$34*Grundtab!$E$24*roh!J$17/100/J$33*Grundtab!$C$89</f>
        <v>0</v>
      </c>
    </row>
    <row r="39" spans="1:10" ht="18.75" customHeight="1" x14ac:dyDescent="0.2">
      <c r="A39" s="196"/>
      <c r="B39" s="17" t="s">
        <v>25</v>
      </c>
      <c r="C39" s="124">
        <f>C$29*(1-Grundtab!$B$1)/C$33*Grundtab!$C$89+C$13*Grundtab!$B$9/Grundtab!$B$35*Grundtab!$E$29*roh!C$16/100/C$33*Grundtab!$C$89</f>
        <v>79.231960073381842</v>
      </c>
      <c r="D39" s="124">
        <f>D$29*(1-Grundtab!$B$1)/D$33*Grundtab!$C$89+D$13*Grundtab!$B$9/Grundtab!$B$35*Grundtab!$E$29*roh!D$16/100/D$33*Grundtab!$C$89</f>
        <v>79.090198783472246</v>
      </c>
      <c r="E39" s="124">
        <f>E$29*(1-Grundtab!$B$1)/E$33*Grundtab!$C$89+E$13*Grundtab!$B$9/Grundtab!$B$35*Grundtab!$E$29*roh!E$16/100/E$33*Grundtab!$C$89</f>
        <v>79.796153382713058</v>
      </c>
      <c r="F39" s="124">
        <f>F$29*(1-Grundtab!$B$1)/F$33*Grundtab!$C$89+F$13*Grundtab!$B$9/Grundtab!$B$35*Grundtab!$E$29*roh!F$16/100/F$33*Grundtab!$C$89</f>
        <v>79.232072000586015</v>
      </c>
      <c r="G39" s="124">
        <f>G$29*(1-Grundtab!$B$1)/G$33*Grundtab!$C$89+G$13*Grundtab!$B$9/Grundtab!$B$35*Grundtab!$E$29*roh!G$16/100/G$33*Grundtab!$C$89</f>
        <v>83.816738259868075</v>
      </c>
      <c r="H39" s="124">
        <f>H$29*(1-Grundtab!$B$1)/H$33*Grundtab!$C$89+H$13*Grundtab!$B$9/Grundtab!$B$35*Grundtab!$E$29*roh!H$16/100/H$33*Grundtab!$C$89</f>
        <v>83.816714282402373</v>
      </c>
      <c r="I39" s="124">
        <f>I$29*(1-Grundtab!$B$1)/I$33*Grundtab!$C$89+I$13*Grundtab!$B$9/Grundtab!$B$35*Grundtab!$E$29*roh!I$16/100/I$33*Grundtab!$C$89</f>
        <v>87.033172030656146</v>
      </c>
      <c r="J39" s="124">
        <f>J$29*(1-Grundtab!$B$1)/J$33*Grundtab!$C$89+J$13*Grundtab!$B$9/Grundtab!$B$35*Grundtab!$E$29*roh!J$16/100/J$33*Grundtab!$C$89</f>
        <v>84.850253443897302</v>
      </c>
    </row>
    <row r="40" spans="1:10" ht="18.75" customHeight="1" x14ac:dyDescent="0.2">
      <c r="A40" s="196"/>
      <c r="B40" s="17" t="s">
        <v>24</v>
      </c>
      <c r="C40" s="149">
        <f>(C$29-C$28)*Grundtab!$B$1/C$33*Grundtab!$C$89</f>
        <v>13</v>
      </c>
      <c r="D40" s="149">
        <f>(D$29-D$28)*Grundtab!$B$1/D$33*Grundtab!$C$89</f>
        <v>12.999999999999998</v>
      </c>
      <c r="E40" s="149">
        <f>(E$29-E$28)*Grundtab!$B$1/E$33*Grundtab!$C$89</f>
        <v>13.000000000000004</v>
      </c>
      <c r="F40" s="149">
        <f>(F$29-F$28)*Grundtab!$B$1/F$33*Grundtab!$C$89</f>
        <v>12.999999999999998</v>
      </c>
      <c r="G40" s="149">
        <f>(G$29-G$28)*Grundtab!$B$1/G$33*Grundtab!$C$89</f>
        <v>3</v>
      </c>
      <c r="H40" s="149">
        <f>(H$29-H$28)*Grundtab!$B$1/H$33*Grundtab!$C$89</f>
        <v>2.9999999999999987</v>
      </c>
      <c r="I40" s="149">
        <f>(I$29-I$28)*Grundtab!$B$1/I$33*Grundtab!$C$89</f>
        <v>2.9999999999999996</v>
      </c>
      <c r="J40" s="149">
        <f>(J$29-J$28)*Grundtab!$B$1/J$33*Grundtab!$C$89</f>
        <v>4.0000000000000018</v>
      </c>
    </row>
    <row r="41" spans="1:10" s="77" customFormat="1" ht="12" customHeight="1" x14ac:dyDescent="0.2">
      <c r="B41" s="78"/>
      <c r="C41" s="80"/>
      <c r="D41" s="80"/>
      <c r="E41" s="80"/>
      <c r="F41" s="80"/>
      <c r="G41" s="80"/>
      <c r="H41" s="80"/>
      <c r="I41" s="80"/>
      <c r="J41" s="80"/>
    </row>
    <row r="42" spans="1:10" ht="18.75" customHeight="1" x14ac:dyDescent="0.2">
      <c r="A42" s="196" t="s">
        <v>230</v>
      </c>
      <c r="B42" s="17" t="s">
        <v>244</v>
      </c>
      <c r="C42" s="125">
        <f>C$13*Grundtab!$B$9*1000/Grundtab!$B$34*Grundtab!$E$24*roh!C$17/100/C$33*Grundtab!$C$85</f>
        <v>0</v>
      </c>
      <c r="D42" s="125">
        <f>D$13*Grundtab!$B$9*1000/Grundtab!$B$34*Grundtab!$E$24*roh!D$17/100/D$33*Grundtab!$C$85</f>
        <v>0</v>
      </c>
      <c r="E42" s="125">
        <f>E$13*Grundtab!$B$9*1000/Grundtab!$B$34*Grundtab!$E$24*roh!E$17/100/E$33*Grundtab!$C$85</f>
        <v>103.6819334784719</v>
      </c>
      <c r="F42" s="125">
        <f>F$13*Grundtab!$B$9*1000/Grundtab!$B$34*Grundtab!$E$24*roh!F$17/100/F$33*Grundtab!$C$85</f>
        <v>6.2241335556508677</v>
      </c>
      <c r="G42" s="125">
        <f>G$13*Grundtab!$B$9*1000/Grundtab!$B$34*Grundtab!$E$24*roh!G$17/100/G$33*Grundtab!$C$85</f>
        <v>0.56955014148822458</v>
      </c>
      <c r="H42" s="125">
        <f>H$13*Grundtab!$B$9*1000/Grundtab!$B$34*Grundtab!$E$24*roh!H$17/100/H$33*Grundtab!$C$85</f>
        <v>2.847736370763114E-2</v>
      </c>
      <c r="I42" s="125">
        <f>I$13*Grundtab!$B$9*1000/Grundtab!$B$34*Grundtab!$E$24*roh!I$17/100/I$33*Grundtab!$C$85</f>
        <v>0</v>
      </c>
      <c r="J42" s="125">
        <f>J$13*Grundtab!$B$9*1000/Grundtab!$B$34*Grundtab!$E$24*roh!J$17/100/J$33*Grundtab!$C$85</f>
        <v>0</v>
      </c>
    </row>
    <row r="43" spans="1:10" ht="18.75" customHeight="1" x14ac:dyDescent="0.2">
      <c r="A43" s="196"/>
      <c r="B43" s="17" t="s">
        <v>243</v>
      </c>
      <c r="C43" s="125">
        <f>C$13*Grundtab!$B$9*1000/Grundtab!$B$35*Grundtab!$E$25*roh!C$16/100/C$33*Grundtab!$C$85</f>
        <v>0</v>
      </c>
      <c r="D43" s="125">
        <f>D$13*Grundtab!$B$9*1000/Grundtab!$B$35*Grundtab!$E$25*roh!D$16/100/D$33*Grundtab!$C$85</f>
        <v>139.72422627405891</v>
      </c>
      <c r="E43" s="125">
        <f>E$13*Grundtab!$B$9*1000/Grundtab!$B$35*Grundtab!$E$25*roh!E$16/100/E$33*Grundtab!$C$85</f>
        <v>1884.9318620232823</v>
      </c>
      <c r="F43" s="125">
        <f>F$13*Grundtab!$B$9*1000/Grundtab!$B$35*Grundtab!$E$25*roh!F$16/100/F$33*Grundtab!$C$85</f>
        <v>142.49073417190635</v>
      </c>
      <c r="G43" s="125">
        <f>G$13*Grundtab!$B$9*1000/Grundtab!$B$35*Grundtab!$E$25*roh!G$16/100/G$33*Grundtab!$C$85</f>
        <v>9.1272033220242445E-3</v>
      </c>
      <c r="H43" s="125">
        <f>H$13*Grundtab!$B$9*1000/Grundtab!$B$35*Grundtab!$E$25*roh!H$16/100/H$33*Grundtab!$C$85</f>
        <v>9.1271573721541221E-3</v>
      </c>
      <c r="I43" s="125">
        <f>I$13*Grundtab!$B$9*1000/Grundtab!$B$35*Grundtab!$E$25*roh!I$16/100/I$33*Grundtab!$C$85</f>
        <v>3680.6561114629285</v>
      </c>
      <c r="J43" s="125">
        <f>J$13*Grundtab!$B$9*1000/Grundtab!$B$35*Grundtab!$E$25*roh!J$16/100/J$33*Grundtab!$C$85</f>
        <v>0</v>
      </c>
    </row>
    <row r="44" spans="1:10" ht="18.75" customHeight="1" x14ac:dyDescent="0.2">
      <c r="A44" s="196"/>
      <c r="B44" s="17" t="s">
        <v>223</v>
      </c>
      <c r="C44" s="125">
        <f>C$13*Grundtab!$B$9*1000/Grundtab!$B$36*Grundtab!$E$26*roh!C$18/100/C$33*Grundtab!$C$85</f>
        <v>0</v>
      </c>
      <c r="D44" s="125">
        <f>D$13*Grundtab!$B$9*1000/Grundtab!$B$36*Grundtab!$E$26*roh!D$18/100/D$33*Grundtab!$C$85</f>
        <v>0</v>
      </c>
      <c r="E44" s="125">
        <f>E$13*Grundtab!$B$9*1000/Grundtab!$B$36*Grundtab!$E$26*roh!E$18/100/E$33*Grundtab!$C$85</f>
        <v>204.10392790139304</v>
      </c>
      <c r="F44" s="125">
        <f>F$13*Grundtab!$B$9*1000/Grundtab!$B$36*Grundtab!$E$26*roh!F$18/100/F$33*Grundtab!$C$85</f>
        <v>5.6295590066624195</v>
      </c>
      <c r="G44" s="125">
        <f>G$13*Grundtab!$B$9*1000/Grundtab!$B$36*Grundtab!$E$26*roh!G$18/100/G$33*Grundtab!$C$85</f>
        <v>0</v>
      </c>
      <c r="H44" s="125">
        <f>H$13*Grundtab!$B$9*1000/Grundtab!$B$36*Grundtab!$E$26*roh!H$18/100/H$33*Grundtab!$C$85</f>
        <v>0</v>
      </c>
      <c r="I44" s="125">
        <f>I$13*Grundtab!$B$9*1000/Grundtab!$B$36*Grundtab!$E$26*roh!I$18/100/I$33*Grundtab!$C$85</f>
        <v>0</v>
      </c>
      <c r="J44" s="125">
        <f>J$13*Grundtab!$B$9*1000/Grundtab!$B$36*Grundtab!$E$26*roh!J$18/100/J$33*Grundtab!$C$85</f>
        <v>0</v>
      </c>
    </row>
    <row r="45" spans="1:10" s="77" customFormat="1" ht="12" customHeight="1" x14ac:dyDescent="0.2">
      <c r="B45" s="78"/>
      <c r="C45" s="79"/>
      <c r="D45" s="79"/>
      <c r="E45" s="79"/>
      <c r="F45" s="79"/>
      <c r="G45" s="79"/>
      <c r="H45" s="79"/>
      <c r="I45" s="79"/>
      <c r="J45" s="79"/>
    </row>
    <row r="46" spans="1:10" ht="18.75" customHeight="1" x14ac:dyDescent="0.2">
      <c r="A46" s="196" t="s">
        <v>84</v>
      </c>
      <c r="B46" s="17" t="s">
        <v>244</v>
      </c>
      <c r="C46" s="125">
        <f>C$42*Grundtab!$B$80</f>
        <v>0</v>
      </c>
      <c r="D46" s="125">
        <f>D$42*Grundtab!$B$80</f>
        <v>0</v>
      </c>
      <c r="E46" s="125">
        <f>E$42*Grundtab!$B$80</f>
        <v>296.34923775708114</v>
      </c>
      <c r="F46" s="125">
        <f>F$42*Grundtab!$B$80</f>
        <v>17.790150829878126</v>
      </c>
      <c r="G46" s="125">
        <f>G$42*Grundtab!$B$80</f>
        <v>1.6279186221919661</v>
      </c>
      <c r="H46" s="125">
        <f>H$42*Grundtab!$B$80</f>
        <v>8.1395521331013215E-2</v>
      </c>
      <c r="I46" s="125">
        <f>I$42*Grundtab!$B$80</f>
        <v>0</v>
      </c>
      <c r="J46" s="125">
        <f>J$42*Grundtab!$B$80</f>
        <v>0</v>
      </c>
    </row>
    <row r="47" spans="1:10" ht="18.75" customHeight="1" x14ac:dyDescent="0.2">
      <c r="A47" s="196"/>
      <c r="B47" s="17" t="s">
        <v>245</v>
      </c>
      <c r="C47" s="125">
        <f>C$43*Grundtab!$B$82</f>
        <v>0</v>
      </c>
      <c r="D47" s="125">
        <f>D$43*Grundtab!$B$82</f>
        <v>286.7894020737545</v>
      </c>
      <c r="E47" s="125">
        <f>E$43*Grundtab!$B$82</f>
        <v>3868.8958677725682</v>
      </c>
      <c r="F47" s="125">
        <f>F$43*Grundtab!$B$82</f>
        <v>292.46776700024748</v>
      </c>
      <c r="G47" s="125">
        <f>G$43*Grundtab!$B$82</f>
        <v>1.8733939368500891E-2</v>
      </c>
      <c r="H47" s="125">
        <f>H$43*Grundtab!$B$82</f>
        <v>1.8733845054607522E-2</v>
      </c>
      <c r="I47" s="125">
        <f>I$43*Grundtab!$B$82</f>
        <v>7554.6896454100488</v>
      </c>
      <c r="J47" s="125">
        <f>J$43*Grundtab!$B$82</f>
        <v>0</v>
      </c>
    </row>
    <row r="48" spans="1:10" ht="18.75" customHeight="1" x14ac:dyDescent="0.2">
      <c r="A48" s="196"/>
      <c r="B48" s="17" t="s">
        <v>223</v>
      </c>
      <c r="C48" s="125">
        <f>C$44*Grundtab!$B$81</f>
        <v>0</v>
      </c>
      <c r="D48" s="125">
        <f>D$44*Grundtab!$B$81</f>
        <v>0</v>
      </c>
      <c r="E48" s="125">
        <f>E$44*Grundtab!$B$81</f>
        <v>332.0143866449103</v>
      </c>
      <c r="F48" s="125">
        <f>F$44*Grundtab!$B$81</f>
        <v>9.1575630116307867</v>
      </c>
      <c r="G48" s="125">
        <f>G$44*Grundtab!$B$81</f>
        <v>0</v>
      </c>
      <c r="H48" s="125">
        <f>H$44*Grundtab!$B$81</f>
        <v>0</v>
      </c>
      <c r="I48" s="125">
        <f>I$44*Grundtab!$B$81</f>
        <v>0</v>
      </c>
      <c r="J48" s="125">
        <f>J$44*Grundtab!$B$81</f>
        <v>0</v>
      </c>
    </row>
    <row r="49" spans="1:10" s="77" customFormat="1" ht="12" customHeight="1" x14ac:dyDescent="0.2">
      <c r="B49" s="82"/>
    </row>
    <row r="50" spans="1:10" ht="52.5" customHeight="1" x14ac:dyDescent="0.2">
      <c r="B50" s="73" t="s">
        <v>246</v>
      </c>
      <c r="C50" s="74"/>
      <c r="D50" s="74"/>
      <c r="E50" s="74"/>
      <c r="F50" s="74"/>
      <c r="G50" s="74"/>
      <c r="H50" s="74"/>
      <c r="I50" s="74"/>
      <c r="J50" s="74"/>
    </row>
    <row r="51" spans="1:10" ht="18.75" customHeight="1" x14ac:dyDescent="0.2">
      <c r="A51" s="14" t="s">
        <v>229</v>
      </c>
      <c r="B51" s="17" t="s">
        <v>247</v>
      </c>
      <c r="C51" s="123">
        <v>13</v>
      </c>
      <c r="D51" s="123">
        <v>13</v>
      </c>
      <c r="E51" s="123">
        <v>13</v>
      </c>
      <c r="F51" s="123">
        <v>6</v>
      </c>
      <c r="G51" s="123">
        <v>3</v>
      </c>
      <c r="H51" s="123">
        <v>3</v>
      </c>
      <c r="I51" s="123">
        <v>3</v>
      </c>
      <c r="J51" s="123">
        <v>3</v>
      </c>
    </row>
    <row r="52" spans="1:10" ht="18.75" customHeight="1" x14ac:dyDescent="0.2">
      <c r="A52" s="196" t="s">
        <v>84</v>
      </c>
      <c r="B52" s="17" t="s">
        <v>244</v>
      </c>
      <c r="C52" s="125">
        <f>C$46*(Grundtab!$B$1-C$51/100)/(Grundtab!$B$1-C$40/100)</f>
        <v>0</v>
      </c>
      <c r="D52" s="125">
        <f>D$46*(Grundtab!$B$1-D$51/100)/(Grundtab!$B$1-D$40/100)</f>
        <v>0</v>
      </c>
      <c r="E52" s="125">
        <f>E$46*(Grundtab!$B$1-E$51/100)/(Grundtab!$B$1-E$40/100)</f>
        <v>296.34923775708126</v>
      </c>
      <c r="F52" s="125">
        <f>F$46*(Grundtab!$B$1-F$51/100)/(Grundtab!$B$1-F$40/100)</f>
        <v>33.462319947565867</v>
      </c>
      <c r="G52" s="165">
        <f>G$46*(Grundtab!$B$1-G$51/100)/(Grundtab!$B$1-G$40/100)</f>
        <v>1.6279186221919659</v>
      </c>
      <c r="H52" s="165">
        <f>H$46*(Grundtab!$B$1-H$51/100)/(Grundtab!$B$1-H$40/100)</f>
        <v>8.1395521331013215E-2</v>
      </c>
      <c r="I52" s="165">
        <f>I$46*(Grundtab!$B$1-I$51/100)/(Grundtab!$B$1-I$40/100)</f>
        <v>0</v>
      </c>
      <c r="J52" s="165">
        <f>J$46*(Grundtab!$B$1-J$51/100)/(Grundtab!$B$1-J$40/100)</f>
        <v>0</v>
      </c>
    </row>
    <row r="53" spans="1:10" ht="18.75" customHeight="1" x14ac:dyDescent="0.2">
      <c r="A53" s="196"/>
      <c r="B53" s="17" t="s">
        <v>245</v>
      </c>
      <c r="C53" s="125">
        <f>C$47*(Grundtab!$B$1-C$51/100)/(Grundtab!$B$1-C$40/100)</f>
        <v>0</v>
      </c>
      <c r="D53" s="125">
        <f>D$47*(Grundtab!$B$1-D$51/100)/(Grundtab!$B$1-D$40/100)</f>
        <v>286.78940207375439</v>
      </c>
      <c r="E53" s="125">
        <f>E$47*(Grundtab!$B$1-E$51/100)/(Grundtab!$B$1-E$40/100)</f>
        <v>3868.8958677725695</v>
      </c>
      <c r="F53" s="125">
        <f>F$47*(Grundtab!$B$1-F$51/100)/(Grundtab!$B$1-F$40/100)</f>
        <v>550.11618998058111</v>
      </c>
      <c r="G53" s="125">
        <f>G$47*(Grundtab!$B$1-G$51/100)/(Grundtab!$B$1-G$40/100)</f>
        <v>1.8733939368500891E-2</v>
      </c>
      <c r="H53" s="125">
        <f>H$47*(Grundtab!$B$1-H$51/100)/(Grundtab!$B$1-H$40/100)</f>
        <v>1.8733845054607522E-2</v>
      </c>
      <c r="I53" s="125">
        <f>I$47*(Grundtab!$B$1-I$51/100)/(Grundtab!$B$1-I$40/100)</f>
        <v>7554.6896454100488</v>
      </c>
      <c r="J53" s="125">
        <f>J$47*(Grundtab!$B$1-J$51/100)/(Grundtab!$B$1-J$40/100)</f>
        <v>0</v>
      </c>
    </row>
    <row r="54" spans="1:10" ht="18.75" customHeight="1" x14ac:dyDescent="0.2">
      <c r="A54" s="196"/>
      <c r="B54" s="17" t="s">
        <v>223</v>
      </c>
      <c r="C54" s="125">
        <f>C$48*(Grundtab!$B$1-C$51/100)/(Grundtab!$B$1-C$40/100)</f>
        <v>0</v>
      </c>
      <c r="D54" s="125">
        <f>D$48*(Grundtab!$B$1-D$51/100)/(Grundtab!$B$1-D$40/100)</f>
        <v>0</v>
      </c>
      <c r="E54" s="125">
        <f>E$48*(Grundtab!$B$1-E$51/100)/(Grundtab!$B$1-E$40/100)</f>
        <v>332.01438664491042</v>
      </c>
      <c r="F54" s="125">
        <f>F$48*(Grundtab!$B$1-F$51/100)/(Grundtab!$B$1-F$40/100)</f>
        <v>17.224885070706481</v>
      </c>
      <c r="G54" s="125">
        <f>G$48*(Grundtab!$B$1-G$51/100)/(Grundtab!$B$1-G$40/100)</f>
        <v>0</v>
      </c>
      <c r="H54" s="125">
        <f>H$48*(Grundtab!$B$1-H$51/100)/(Grundtab!$B$1-H$40/100)</f>
        <v>0</v>
      </c>
      <c r="I54" s="125">
        <f>I$48*(Grundtab!$B$1-I$51/100)/(Grundtab!$B$1-I$40/100)</f>
        <v>0</v>
      </c>
      <c r="J54" s="125">
        <f>J$48*(Grundtab!$B$1-J$51/100)/(Grundtab!$B$1-J$40/100)</f>
        <v>0</v>
      </c>
    </row>
    <row r="55" spans="1:10" ht="22.5" customHeight="1" x14ac:dyDescent="0.2">
      <c r="A55" s="14" t="s">
        <v>11</v>
      </c>
      <c r="B55" s="17" t="s">
        <v>248</v>
      </c>
      <c r="C55" s="123">
        <v>1</v>
      </c>
      <c r="D55" s="123">
        <v>30</v>
      </c>
      <c r="E55" s="123">
        <v>18</v>
      </c>
      <c r="F55" s="123">
        <v>30</v>
      </c>
      <c r="G55" s="123">
        <v>30</v>
      </c>
      <c r="H55" s="123">
        <v>30</v>
      </c>
      <c r="I55" s="123">
        <v>30</v>
      </c>
      <c r="J55" s="123">
        <v>30</v>
      </c>
    </row>
    <row r="56" spans="1:10" ht="18.75" customHeight="1" x14ac:dyDescent="0.2">
      <c r="A56" s="196" t="s">
        <v>84</v>
      </c>
      <c r="B56" s="17" t="s">
        <v>63</v>
      </c>
      <c r="C56" s="125">
        <f t="shared" ref="C56:J56" si="5">C$52*C$55/100</f>
        <v>0</v>
      </c>
      <c r="D56" s="125">
        <f t="shared" si="5"/>
        <v>0</v>
      </c>
      <c r="E56" s="125">
        <f t="shared" si="5"/>
        <v>53.342862796274623</v>
      </c>
      <c r="F56" s="125">
        <f t="shared" si="5"/>
        <v>10.03869598426976</v>
      </c>
      <c r="G56" s="173">
        <f t="shared" si="5"/>
        <v>0.48837558665758979</v>
      </c>
      <c r="H56" s="173">
        <f t="shared" si="5"/>
        <v>2.4418656399303965E-2</v>
      </c>
      <c r="I56" s="173">
        <f t="shared" si="5"/>
        <v>0</v>
      </c>
      <c r="J56" s="173">
        <f t="shared" si="5"/>
        <v>0</v>
      </c>
    </row>
    <row r="57" spans="1:10" ht="18.75" customHeight="1" x14ac:dyDescent="0.2">
      <c r="A57" s="196"/>
      <c r="B57" s="17" t="s">
        <v>276</v>
      </c>
      <c r="C57" s="125">
        <f t="shared" ref="C57:J57" si="6">C$53*C$55/100</f>
        <v>0</v>
      </c>
      <c r="D57" s="125">
        <f t="shared" si="6"/>
        <v>86.036820622126328</v>
      </c>
      <c r="E57" s="125">
        <f t="shared" si="6"/>
        <v>696.40125619906246</v>
      </c>
      <c r="F57" s="125">
        <f t="shared" si="6"/>
        <v>165.03485699417433</v>
      </c>
      <c r="G57" s="125">
        <f t="shared" si="6"/>
        <v>5.6201818105502677E-3</v>
      </c>
      <c r="H57" s="125">
        <f t="shared" si="6"/>
        <v>5.6201535163822565E-3</v>
      </c>
      <c r="I57" s="125">
        <f t="shared" si="6"/>
        <v>2266.4068936230146</v>
      </c>
      <c r="J57" s="125">
        <f t="shared" si="6"/>
        <v>0</v>
      </c>
    </row>
    <row r="58" spans="1:10" ht="18.75" customHeight="1" x14ac:dyDescent="0.2">
      <c r="A58" s="196"/>
      <c r="B58" s="17" t="s">
        <v>85</v>
      </c>
      <c r="C58" s="125">
        <f t="shared" ref="C58:J58" si="7">C$54*C$55/100</f>
        <v>0</v>
      </c>
      <c r="D58" s="125">
        <f t="shared" si="7"/>
        <v>0</v>
      </c>
      <c r="E58" s="125">
        <f t="shared" si="7"/>
        <v>59.76258959608387</v>
      </c>
      <c r="F58" s="125">
        <f t="shared" si="7"/>
        <v>5.1674655212119447</v>
      </c>
      <c r="G58" s="125">
        <f t="shared" si="7"/>
        <v>0</v>
      </c>
      <c r="H58" s="125">
        <f t="shared" si="7"/>
        <v>0</v>
      </c>
      <c r="I58" s="125">
        <f t="shared" si="7"/>
        <v>0</v>
      </c>
      <c r="J58" s="125">
        <f t="shared" si="7"/>
        <v>0</v>
      </c>
    </row>
    <row r="59" spans="1:10" s="77" customFormat="1" ht="12" customHeight="1" x14ac:dyDescent="0.2">
      <c r="B59" s="82"/>
    </row>
    <row r="60" spans="1:10" ht="52.5" customHeight="1" x14ac:dyDescent="0.2">
      <c r="A60" s="198" t="s">
        <v>196</v>
      </c>
      <c r="B60" s="198"/>
    </row>
    <row r="61" spans="1:10" ht="18.75" customHeight="1" x14ac:dyDescent="0.2">
      <c r="B61" s="17" t="s">
        <v>194</v>
      </c>
      <c r="C61" s="126">
        <f>VLOOKUP(ROUNDUP(roh!C12/10,0)*10,Grundtab!$A$14:$C$19,2,FALSE)</f>
        <v>0.68240000000000001</v>
      </c>
      <c r="D61" s="126">
        <f>VLOOKUP(ROUNDUP(roh!D12/10,0)*10,Grundtab!$A$14:$C$19,2,FALSE)</f>
        <v>0.68240000000000001</v>
      </c>
      <c r="E61" s="126">
        <f>VLOOKUP(ROUNDUP(roh!E12/10,0)*10,Grundtab!$A$14:$C$19,2,FALSE)</f>
        <v>0.66820000000000002</v>
      </c>
      <c r="F61" s="126">
        <f>VLOOKUP(ROUNDUP(roh!F12/10,0)*10,Grundtab!$A$14:$C$19,2,FALSE)</f>
        <v>0.72899999999999998</v>
      </c>
      <c r="G61" s="126">
        <f>VLOOKUP(ROUNDUP(roh!G12/10,0)*10,Grundtab!$A$14:$C$19,2,FALSE)</f>
        <v>0.66820000000000002</v>
      </c>
      <c r="H61" s="126">
        <f>VLOOKUP(ROUNDUP(roh!H12/10,0)*10,Grundtab!$A$14:$C$19,2,FALSE)</f>
        <v>0.66820000000000002</v>
      </c>
      <c r="I61" s="126">
        <f>VLOOKUP(ROUNDUP(roh!I12/10,0)*10,Grundtab!$A$14:$C$19,2,FALSE)</f>
        <v>0.65720000000000001</v>
      </c>
      <c r="J61" s="126">
        <f>VLOOKUP(ROUNDUP(roh!J12/10,0)*10,Grundtab!$A$14:$C$19,2,FALSE)</f>
        <v>0.66820000000000002</v>
      </c>
    </row>
    <row r="62" spans="1:10" ht="18.75" customHeight="1" x14ac:dyDescent="0.2">
      <c r="B62" s="17" t="s">
        <v>195</v>
      </c>
      <c r="C62" s="126">
        <f>VLOOKUP(ROUNDUP(roh!C12/10,0)*10,Grundtab!$A$14:$C$19,3,FALSE)</f>
        <v>1.2500000000000001E-2</v>
      </c>
      <c r="D62" s="126">
        <f>VLOOKUP(ROUNDUP(roh!D12/10,0)*10,Grundtab!$A$14:$C$19,3,FALSE)</f>
        <v>1.2500000000000001E-2</v>
      </c>
      <c r="E62" s="126">
        <f>VLOOKUP(ROUNDUP(roh!E12/10,0)*10,Grundtab!$A$14:$C$19,3,FALSE)</f>
        <v>1.0699999999999999E-2</v>
      </c>
      <c r="F62" s="126">
        <f>VLOOKUP(ROUNDUP(roh!F12/10,0)*10,Grundtab!$A$14:$C$19,3,FALSE)</f>
        <v>1.83E-2</v>
      </c>
      <c r="G62" s="126">
        <f>VLOOKUP(ROUNDUP(roh!G12/10,0)*10,Grundtab!$A$14:$C$19,3,FALSE)</f>
        <v>1.0699999999999999E-2</v>
      </c>
      <c r="H62" s="126">
        <f>VLOOKUP(ROUNDUP(roh!H12/10,0)*10,Grundtab!$A$14:$C$19,3,FALSE)</f>
        <v>1.0699999999999999E-2</v>
      </c>
      <c r="I62" s="126">
        <f>VLOOKUP(ROUNDUP(roh!I12/10,0)*10,Grundtab!$A$14:$C$19,3,FALSE)</f>
        <v>8.3000000000000001E-3</v>
      </c>
      <c r="J62" s="126">
        <f>VLOOKUP(ROUNDUP(roh!J12/10,0)*10,Grundtab!$A$14:$C$19,3,FALSE)</f>
        <v>1.0699999999999999E-2</v>
      </c>
    </row>
    <row r="63" spans="1:10" s="77" customFormat="1" x14ac:dyDescent="0.2">
      <c r="B63" s="78"/>
    </row>
    <row r="64" spans="1:10" ht="18.75" customHeight="1" x14ac:dyDescent="0.2">
      <c r="A64" s="14" t="s">
        <v>13</v>
      </c>
      <c r="B64" s="17" t="s">
        <v>249</v>
      </c>
      <c r="C64" s="123">
        <v>250</v>
      </c>
      <c r="D64" s="123">
        <v>250</v>
      </c>
      <c r="E64" s="123">
        <v>250</v>
      </c>
      <c r="F64" s="123">
        <v>250</v>
      </c>
      <c r="G64" s="123">
        <v>140</v>
      </c>
      <c r="H64" s="123">
        <v>140</v>
      </c>
      <c r="I64" s="123">
        <v>140</v>
      </c>
      <c r="J64" s="123">
        <v>140</v>
      </c>
    </row>
    <row r="65" spans="1:10" ht="18.75" customHeight="1" x14ac:dyDescent="0.2">
      <c r="A65" s="14" t="s">
        <v>13</v>
      </c>
      <c r="B65" s="17" t="s">
        <v>250</v>
      </c>
      <c r="C65" s="123">
        <v>20</v>
      </c>
      <c r="D65" s="123">
        <v>20</v>
      </c>
      <c r="E65" s="123">
        <v>20</v>
      </c>
      <c r="F65" s="123">
        <v>20</v>
      </c>
      <c r="G65" s="123">
        <v>20</v>
      </c>
      <c r="H65" s="123">
        <v>20</v>
      </c>
      <c r="I65" s="123">
        <v>20</v>
      </c>
      <c r="J65" s="123">
        <v>20</v>
      </c>
    </row>
    <row r="66" spans="1:10" ht="18.75" customHeight="1" x14ac:dyDescent="0.2">
      <c r="A66" s="14" t="s">
        <v>229</v>
      </c>
      <c r="B66" s="17" t="s">
        <v>251</v>
      </c>
      <c r="C66" s="124">
        <f t="shared" ref="C66:J66" si="8">C$40</f>
        <v>13</v>
      </c>
      <c r="D66" s="124">
        <f t="shared" si="8"/>
        <v>12.999999999999998</v>
      </c>
      <c r="E66" s="124">
        <f t="shared" si="8"/>
        <v>13.000000000000004</v>
      </c>
      <c r="F66" s="124">
        <f t="shared" si="8"/>
        <v>12.999999999999998</v>
      </c>
      <c r="G66" s="124">
        <f t="shared" si="8"/>
        <v>3</v>
      </c>
      <c r="H66" s="124">
        <f t="shared" si="8"/>
        <v>2.9999999999999987</v>
      </c>
      <c r="I66" s="124">
        <f t="shared" si="8"/>
        <v>2.9999999999999996</v>
      </c>
      <c r="J66" s="124">
        <f t="shared" si="8"/>
        <v>4.0000000000000018</v>
      </c>
    </row>
    <row r="67" spans="1:10" ht="18.75" customHeight="1" x14ac:dyDescent="0.2">
      <c r="A67" s="14" t="s">
        <v>11</v>
      </c>
      <c r="B67" s="17" t="s">
        <v>252</v>
      </c>
      <c r="C67" s="124">
        <f>(C$64-C$65)*(C$61/(Grundtab!$B$1*Grundtab!$C$89-C$66)+C$62)</f>
        <v>22.627328215454312</v>
      </c>
      <c r="D67" s="124">
        <f>(D$64-D$65)*(D$61/(Grundtab!$B$1*Grundtab!$C$89-D$66)+D$62)</f>
        <v>22.627328215454309</v>
      </c>
      <c r="E67" s="124">
        <f>(E$64-E$65)*(E$61/(Grundtab!$B$1*Grundtab!$C$89-E$66)+E$62)</f>
        <v>21.802303800654425</v>
      </c>
      <c r="F67" s="124">
        <f>(F$64-F$65)*(F$61/(Grundtab!$B$1*Grundtab!$C$89-F$66)+F$62)</f>
        <v>25.310182985149751</v>
      </c>
      <c r="G67" s="124">
        <f>(G$64-G$65)*(G$61/(Grundtab!$B$1*Grundtab!$C$89-G$66)+G$62)</f>
        <v>5.7520708793045801</v>
      </c>
      <c r="H67" s="124">
        <f>(H$64-H$65)*(H$61/(Grundtab!$B$1*Grundtab!$C$89-H$66)+H$62)</f>
        <v>5.7520708793045801</v>
      </c>
      <c r="I67" s="124">
        <f>(I$64-I$65)*(I$61/(Grundtab!$B$1*Grundtab!$C$89-I$66)+I$62)</f>
        <v>5.3905168839852893</v>
      </c>
      <c r="J67" s="124">
        <f>(J$64-J$65)*(J$61/(Grundtab!$B$1*Grundtab!$C$89-J$66)+J$62)</f>
        <v>6.0157361029151435</v>
      </c>
    </row>
    <row r="68" spans="1:10" s="77" customFormat="1" x14ac:dyDescent="0.2">
      <c r="B68" s="78"/>
    </row>
    <row r="69" spans="1:10" ht="18.75" customHeight="1" x14ac:dyDescent="0.2"/>
    <row r="70" spans="1:10" ht="18.75" customHeight="1" x14ac:dyDescent="0.2"/>
    <row r="71" spans="1:10" ht="18.75" customHeight="1" x14ac:dyDescent="0.2"/>
    <row r="72" spans="1:10" ht="18.75" customHeight="1" x14ac:dyDescent="0.2"/>
    <row r="73" spans="1:10" ht="18.75" customHeight="1" x14ac:dyDescent="0.2"/>
    <row r="74" spans="1:10" ht="18.75" customHeight="1" x14ac:dyDescent="0.2"/>
  </sheetData>
  <mergeCells count="10">
    <mergeCell ref="A56:A58"/>
    <mergeCell ref="A1:B1"/>
    <mergeCell ref="A60:B60"/>
    <mergeCell ref="A42:A44"/>
    <mergeCell ref="A46:A48"/>
    <mergeCell ref="A52:A54"/>
    <mergeCell ref="A36:A40"/>
    <mergeCell ref="A28:A33"/>
    <mergeCell ref="A19:A21"/>
    <mergeCell ref="A15:A17"/>
  </mergeCells>
  <pageMargins left="0.7" right="0.7" top="0.78740157499999996" bottom="0.78740157499999996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34"/>
  <sheetViews>
    <sheetView workbookViewId="0">
      <selection activeCell="B12" sqref="B12:C12"/>
    </sheetView>
  </sheetViews>
  <sheetFormatPr baseColWidth="10" defaultColWidth="11.42578125" defaultRowHeight="12.75" x14ac:dyDescent="0.2"/>
  <cols>
    <col min="1" max="1" width="31" style="9" customWidth="1"/>
    <col min="2" max="15" width="18.85546875" style="9" customWidth="1"/>
    <col min="16" max="16" width="18.85546875" style="11" customWidth="1"/>
    <col min="17" max="17" width="18.85546875" style="9" customWidth="1"/>
    <col min="18" max="18" width="16.28515625" style="9" customWidth="1"/>
    <col min="19" max="16384" width="11.42578125" style="9"/>
  </cols>
  <sheetData>
    <row r="1" spans="1:17" ht="15.75" customHeight="1" x14ac:dyDescent="0.2">
      <c r="A1" s="127" t="s">
        <v>86</v>
      </c>
      <c r="B1" s="11">
        <f>20.946/100</f>
        <v>0.20946000000000001</v>
      </c>
      <c r="C1" s="10" t="s">
        <v>73</v>
      </c>
      <c r="D1" s="11">
        <f>20.946/100</f>
        <v>0.20946000000000001</v>
      </c>
      <c r="E1" s="10"/>
      <c r="I1" s="128"/>
      <c r="Q1" s="11"/>
    </row>
    <row r="2" spans="1:17" ht="15.75" customHeight="1" x14ac:dyDescent="0.2">
      <c r="A2" s="127" t="s">
        <v>87</v>
      </c>
      <c r="B2" s="11">
        <f>78.084/100</f>
        <v>0.78083999999999998</v>
      </c>
      <c r="C2" s="10" t="s">
        <v>73</v>
      </c>
      <c r="D2" s="11">
        <f>78.084/100</f>
        <v>0.78083999999999998</v>
      </c>
      <c r="E2" s="10"/>
      <c r="I2" s="128"/>
      <c r="Q2" s="11"/>
    </row>
    <row r="3" spans="1:17" ht="15.75" customHeight="1" x14ac:dyDescent="0.2">
      <c r="A3" s="127" t="s">
        <v>88</v>
      </c>
      <c r="B3" s="18">
        <f>1-SUM(B1:B2)</f>
        <v>9.7000000000000419E-3</v>
      </c>
      <c r="C3" s="10" t="s">
        <v>73</v>
      </c>
      <c r="D3" s="10"/>
      <c r="E3" s="10"/>
      <c r="I3" s="128"/>
      <c r="Q3" s="11"/>
    </row>
    <row r="4" spans="1:17" ht="15.75" customHeight="1" x14ac:dyDescent="0.2">
      <c r="A4" s="127" t="s">
        <v>89</v>
      </c>
      <c r="B4" s="11">
        <v>0.23141999999999999</v>
      </c>
      <c r="C4" s="10" t="s">
        <v>90</v>
      </c>
      <c r="D4" s="10">
        <f>23.142/100</f>
        <v>0.23141999999999999</v>
      </c>
      <c r="E4" s="10"/>
      <c r="F4" s="18"/>
      <c r="G4" s="18"/>
      <c r="I4" s="128"/>
      <c r="Q4" s="11"/>
    </row>
    <row r="5" spans="1:17" ht="15.75" customHeight="1" x14ac:dyDescent="0.2">
      <c r="A5" s="127" t="s">
        <v>91</v>
      </c>
      <c r="B5" s="11">
        <v>0.75517999999999996</v>
      </c>
      <c r="C5" s="10" t="s">
        <v>90</v>
      </c>
      <c r="D5" s="10">
        <f>75.518/100</f>
        <v>0.75517999999999996</v>
      </c>
      <c r="E5" s="10"/>
      <c r="F5" s="18"/>
      <c r="G5" s="18"/>
      <c r="I5" s="128"/>
      <c r="Q5" s="11"/>
    </row>
    <row r="6" spans="1:17" ht="15.75" customHeight="1" x14ac:dyDescent="0.2">
      <c r="A6" s="127" t="s">
        <v>92</v>
      </c>
      <c r="B6" s="18">
        <f>1-SUM(B4:B5)</f>
        <v>1.3400000000000079E-2</v>
      </c>
      <c r="C6" s="10" t="s">
        <v>90</v>
      </c>
      <c r="D6" s="10"/>
      <c r="E6" s="10"/>
      <c r="F6" s="18"/>
      <c r="G6" s="18"/>
      <c r="I6" s="128"/>
      <c r="Q6" s="11"/>
    </row>
    <row r="7" spans="1:17" ht="15.75" customHeight="1" x14ac:dyDescent="0.2">
      <c r="A7" s="127" t="s">
        <v>31</v>
      </c>
      <c r="B7" s="18">
        <v>273.14999999999998</v>
      </c>
      <c r="C7" s="11" t="s">
        <v>32</v>
      </c>
      <c r="D7" s="11"/>
      <c r="E7" s="11"/>
      <c r="F7" s="18"/>
      <c r="G7" s="18"/>
      <c r="I7" s="128"/>
      <c r="Q7" s="11"/>
    </row>
    <row r="8" spans="1:17" ht="15.75" customHeight="1" x14ac:dyDescent="0.2">
      <c r="A8" s="127" t="s">
        <v>33</v>
      </c>
      <c r="B8" s="19">
        <v>1.01325</v>
      </c>
      <c r="C8" s="11" t="s">
        <v>34</v>
      </c>
      <c r="D8" s="11"/>
      <c r="E8" s="11"/>
      <c r="F8" s="18"/>
      <c r="G8" s="18"/>
      <c r="I8" s="128"/>
      <c r="Q8" s="11"/>
    </row>
    <row r="9" spans="1:17" ht="15.75" customHeight="1" x14ac:dyDescent="0.2">
      <c r="A9" s="129" t="s">
        <v>22</v>
      </c>
      <c r="B9" s="11">
        <f>22.413968/1000</f>
        <v>2.2413967999999999E-2</v>
      </c>
      <c r="C9" s="10" t="s">
        <v>93</v>
      </c>
      <c r="D9" s="10"/>
      <c r="E9" s="10"/>
      <c r="I9" s="128"/>
      <c r="Q9" s="11"/>
    </row>
    <row r="10" spans="1:17" ht="15.75" customHeight="1" x14ac:dyDescent="0.2">
      <c r="A10" s="127" t="s">
        <v>94</v>
      </c>
      <c r="B10" s="11">
        <f>(1-$B$1)/$B$1</f>
        <v>3.7741812279194118</v>
      </c>
      <c r="C10" s="10" t="s">
        <v>95</v>
      </c>
      <c r="D10" s="10"/>
      <c r="E10" s="10"/>
      <c r="I10" s="128"/>
      <c r="Q10" s="11"/>
    </row>
    <row r="11" spans="1:17" ht="15.75" customHeight="1" x14ac:dyDescent="0.2">
      <c r="A11" s="127" t="s">
        <v>96</v>
      </c>
      <c r="B11" s="11">
        <f>(1+(1-$B$1)/$B$1)</f>
        <v>4.7741812279194118</v>
      </c>
      <c r="C11" s="10" t="s">
        <v>97</v>
      </c>
      <c r="D11" s="10"/>
      <c r="E11" s="10"/>
      <c r="I11" s="128"/>
    </row>
    <row r="12" spans="1:17" s="20" customFormat="1" ht="15.75" customHeight="1" x14ac:dyDescent="0.2">
      <c r="A12" s="21"/>
      <c r="B12" s="201" t="s">
        <v>18</v>
      </c>
      <c r="C12" s="201"/>
      <c r="D12" s="201" t="s">
        <v>313</v>
      </c>
      <c r="E12" s="201"/>
      <c r="F12" s="201" t="s">
        <v>314</v>
      </c>
      <c r="G12" s="201"/>
      <c r="H12" s="201" t="s">
        <v>315</v>
      </c>
      <c r="I12" s="201"/>
      <c r="J12" s="201" t="s">
        <v>316</v>
      </c>
      <c r="K12" s="201"/>
      <c r="L12" s="201" t="s">
        <v>317</v>
      </c>
      <c r="M12" s="201"/>
      <c r="N12" s="201" t="s">
        <v>318</v>
      </c>
      <c r="O12" s="201"/>
      <c r="P12" s="201" t="s">
        <v>319</v>
      </c>
      <c r="Q12" s="201"/>
    </row>
    <row r="13" spans="1:17" s="20" customFormat="1" ht="34.5" customHeight="1" x14ac:dyDescent="0.2">
      <c r="A13" s="64" t="s">
        <v>193</v>
      </c>
      <c r="B13" s="38" t="s">
        <v>69</v>
      </c>
      <c r="C13" s="38" t="s">
        <v>70</v>
      </c>
      <c r="D13" s="38" t="s">
        <v>69</v>
      </c>
      <c r="E13" s="38" t="s">
        <v>70</v>
      </c>
      <c r="F13" s="38" t="s">
        <v>69</v>
      </c>
      <c r="G13" s="38" t="s">
        <v>70</v>
      </c>
      <c r="H13" s="38" t="s">
        <v>69</v>
      </c>
      <c r="I13" s="38" t="s">
        <v>70</v>
      </c>
      <c r="J13" s="38" t="s">
        <v>69</v>
      </c>
      <c r="K13" s="38" t="s">
        <v>70</v>
      </c>
      <c r="L13" s="38" t="s">
        <v>69</v>
      </c>
      <c r="M13" s="38" t="s">
        <v>70</v>
      </c>
      <c r="N13" s="38" t="s">
        <v>69</v>
      </c>
      <c r="O13" s="38" t="s">
        <v>70</v>
      </c>
      <c r="P13" s="38" t="s">
        <v>69</v>
      </c>
      <c r="Q13" s="38" t="s">
        <v>70</v>
      </c>
    </row>
    <row r="14" spans="1:17" s="20" customFormat="1" ht="15.75" customHeight="1" x14ac:dyDescent="0.2">
      <c r="A14" s="65">
        <v>0</v>
      </c>
      <c r="B14" s="66">
        <v>0.65720000000000001</v>
      </c>
      <c r="C14" s="66">
        <v>8.3000000000000001E-3</v>
      </c>
      <c r="D14" s="66">
        <v>0.67169999999999996</v>
      </c>
      <c r="E14" s="66">
        <v>7.3000000000000001E-3</v>
      </c>
      <c r="F14" s="66">
        <v>0.69010000000000005</v>
      </c>
      <c r="G14" s="66">
        <v>5.4000000000000003E-3</v>
      </c>
      <c r="H14" s="66">
        <v>0.66</v>
      </c>
      <c r="I14" s="66">
        <v>8.9999999999999993E-3</v>
      </c>
      <c r="J14" s="66">
        <v>0.63</v>
      </c>
      <c r="K14" s="66">
        <v>8.0000000000000002E-3</v>
      </c>
      <c r="L14" s="66">
        <v>0.63</v>
      </c>
      <c r="M14" s="66">
        <v>1.0999999999999999E-2</v>
      </c>
      <c r="N14" s="66">
        <v>0.6</v>
      </c>
      <c r="O14" s="66">
        <v>1.0999999999999999E-2</v>
      </c>
      <c r="P14" s="66">
        <v>0.68</v>
      </c>
      <c r="Q14" s="66">
        <v>7.0000000000000001E-3</v>
      </c>
    </row>
    <row r="15" spans="1:17" s="20" customFormat="1" ht="15.75" customHeight="1" x14ac:dyDescent="0.2">
      <c r="A15" s="65">
        <v>10</v>
      </c>
      <c r="B15" s="66">
        <v>0.66820000000000002</v>
      </c>
      <c r="C15" s="66">
        <v>1.0699999999999999E-2</v>
      </c>
      <c r="D15" s="66">
        <v>0.68089999999999995</v>
      </c>
      <c r="E15" s="66">
        <v>8.3999999999999995E-3</v>
      </c>
      <c r="F15" s="66">
        <v>0.69320000000000004</v>
      </c>
      <c r="G15" s="66">
        <v>5.7000000000000002E-3</v>
      </c>
      <c r="H15" s="66">
        <v>0</v>
      </c>
      <c r="I15" s="66">
        <v>0</v>
      </c>
      <c r="J15" s="66">
        <v>0</v>
      </c>
      <c r="K15" s="66">
        <v>0</v>
      </c>
      <c r="L15" s="66">
        <v>0</v>
      </c>
      <c r="M15" s="66">
        <v>0</v>
      </c>
      <c r="N15" s="66">
        <v>0</v>
      </c>
      <c r="O15" s="66">
        <v>0</v>
      </c>
      <c r="P15" s="66">
        <v>0</v>
      </c>
      <c r="Q15" s="66">
        <v>0</v>
      </c>
    </row>
    <row r="16" spans="1:17" s="20" customFormat="1" ht="15.75" customHeight="1" x14ac:dyDescent="0.2">
      <c r="A16" s="65">
        <v>20</v>
      </c>
      <c r="B16" s="66">
        <v>0.68240000000000001</v>
      </c>
      <c r="C16" s="66">
        <v>1.2500000000000001E-2</v>
      </c>
      <c r="D16" s="66">
        <v>0.68379999999999996</v>
      </c>
      <c r="E16" s="66">
        <v>9.7000000000000003E-3</v>
      </c>
      <c r="F16" s="66">
        <v>0.69669999999999999</v>
      </c>
      <c r="G16" s="66">
        <v>6.1000000000000004E-3</v>
      </c>
      <c r="H16" s="66">
        <v>0</v>
      </c>
      <c r="I16" s="66">
        <v>0</v>
      </c>
      <c r="J16" s="66">
        <v>0</v>
      </c>
      <c r="K16" s="66">
        <v>0</v>
      </c>
      <c r="L16" s="66">
        <v>0</v>
      </c>
      <c r="M16" s="66">
        <v>0</v>
      </c>
      <c r="N16" s="66">
        <v>0</v>
      </c>
      <c r="O16" s="66">
        <v>0</v>
      </c>
      <c r="P16" s="66">
        <v>0</v>
      </c>
      <c r="Q16" s="66">
        <v>0</v>
      </c>
    </row>
    <row r="17" spans="1:17" s="20" customFormat="1" ht="15.75" customHeight="1" x14ac:dyDescent="0.2">
      <c r="A17" s="65">
        <v>30</v>
      </c>
      <c r="B17" s="66">
        <v>0.70169999999999999</v>
      </c>
      <c r="C17" s="66">
        <v>1.49E-2</v>
      </c>
      <c r="D17" s="66">
        <v>0.70699999999999996</v>
      </c>
      <c r="E17" s="66">
        <v>1.15E-2</v>
      </c>
      <c r="F17" s="66">
        <v>0.7006</v>
      </c>
      <c r="G17" s="66">
        <v>6.4999999999999997E-3</v>
      </c>
      <c r="H17" s="66">
        <v>0</v>
      </c>
      <c r="I17" s="66">
        <v>0</v>
      </c>
      <c r="J17" s="66">
        <v>0</v>
      </c>
      <c r="K17" s="66">
        <v>0</v>
      </c>
      <c r="L17" s="66">
        <v>0</v>
      </c>
      <c r="M17" s="66">
        <v>0</v>
      </c>
      <c r="N17" s="66">
        <v>0</v>
      </c>
      <c r="O17" s="66">
        <v>0</v>
      </c>
      <c r="P17" s="66">
        <v>0</v>
      </c>
      <c r="Q17" s="66">
        <v>0</v>
      </c>
    </row>
    <row r="18" spans="1:17" s="20" customFormat="1" ht="15.75" customHeight="1" x14ac:dyDescent="0.2">
      <c r="A18" s="65">
        <v>40</v>
      </c>
      <c r="B18" s="66">
        <v>0.72899999999999998</v>
      </c>
      <c r="C18" s="66">
        <v>1.83E-2</v>
      </c>
      <c r="D18" s="66">
        <v>0.72809999999999997</v>
      </c>
      <c r="E18" s="66">
        <v>1.4E-2</v>
      </c>
      <c r="F18" s="66">
        <v>0.70499999999999996</v>
      </c>
      <c r="G18" s="66">
        <v>6.8999999999999999E-3</v>
      </c>
      <c r="H18" s="66">
        <v>0</v>
      </c>
      <c r="I18" s="66">
        <v>0</v>
      </c>
      <c r="J18" s="66">
        <v>0</v>
      </c>
      <c r="K18" s="66">
        <v>0</v>
      </c>
      <c r="L18" s="66">
        <v>0</v>
      </c>
      <c r="M18" s="66">
        <v>0</v>
      </c>
      <c r="N18" s="66">
        <v>0</v>
      </c>
      <c r="O18" s="66">
        <v>0</v>
      </c>
      <c r="P18" s="66">
        <v>0</v>
      </c>
      <c r="Q18" s="66">
        <v>0</v>
      </c>
    </row>
    <row r="19" spans="1:17" s="20" customFormat="1" ht="15.75" customHeight="1" x14ac:dyDescent="0.2">
      <c r="A19" s="65">
        <v>50</v>
      </c>
      <c r="B19" s="66">
        <v>0.77090000000000003</v>
      </c>
      <c r="C19" s="66">
        <v>2.35E-2</v>
      </c>
      <c r="D19" s="66">
        <v>0</v>
      </c>
      <c r="E19" s="66">
        <v>0</v>
      </c>
      <c r="F19" s="66">
        <v>0</v>
      </c>
      <c r="G19" s="66">
        <v>0</v>
      </c>
      <c r="H19" s="66">
        <v>0</v>
      </c>
      <c r="I19" s="66">
        <v>0</v>
      </c>
      <c r="J19" s="66">
        <v>0</v>
      </c>
      <c r="K19" s="66">
        <v>0</v>
      </c>
      <c r="L19" s="66">
        <v>0</v>
      </c>
      <c r="M19" s="66">
        <v>0</v>
      </c>
      <c r="N19" s="66">
        <v>0</v>
      </c>
      <c r="O19" s="66">
        <v>0</v>
      </c>
      <c r="P19" s="66">
        <v>0</v>
      </c>
      <c r="Q19" s="66">
        <v>0</v>
      </c>
    </row>
    <row r="20" spans="1:17" s="20" customFormat="1" ht="15.75" customHeight="1" x14ac:dyDescent="0.2">
      <c r="A20" s="65"/>
      <c r="B20" s="66"/>
      <c r="C20" s="66"/>
      <c r="D20" s="66">
        <v>0</v>
      </c>
      <c r="E20" s="66">
        <v>0</v>
      </c>
      <c r="F20" s="66">
        <v>0</v>
      </c>
      <c r="G20" s="66">
        <v>0</v>
      </c>
      <c r="H20" s="66">
        <v>0</v>
      </c>
      <c r="I20" s="66">
        <v>0</v>
      </c>
      <c r="J20" s="66">
        <v>0</v>
      </c>
      <c r="K20" s="66">
        <v>0</v>
      </c>
      <c r="L20" s="66">
        <v>0</v>
      </c>
      <c r="M20" s="66">
        <v>0</v>
      </c>
      <c r="N20" s="66">
        <v>0</v>
      </c>
      <c r="O20" s="66">
        <v>0</v>
      </c>
      <c r="P20" s="66">
        <v>0</v>
      </c>
      <c r="Q20" s="66">
        <v>0</v>
      </c>
    </row>
    <row r="21" spans="1:17" s="20" customFormat="1" ht="30.75" customHeight="1" x14ac:dyDescent="0.2">
      <c r="A21" s="70" t="s">
        <v>198</v>
      </c>
      <c r="B21" s="66" t="s">
        <v>199</v>
      </c>
      <c r="D21" s="66">
        <v>0</v>
      </c>
      <c r="E21" s="66">
        <v>0</v>
      </c>
      <c r="F21" s="66">
        <v>0</v>
      </c>
      <c r="G21" s="66">
        <v>0</v>
      </c>
      <c r="H21" s="66">
        <v>0</v>
      </c>
      <c r="I21" s="66">
        <v>0</v>
      </c>
      <c r="J21" s="66">
        <v>0</v>
      </c>
      <c r="K21" s="66">
        <v>0</v>
      </c>
      <c r="L21" s="66">
        <v>0</v>
      </c>
      <c r="M21" s="66">
        <v>0</v>
      </c>
      <c r="N21" s="66">
        <v>0</v>
      </c>
      <c r="O21" s="66">
        <v>0</v>
      </c>
      <c r="P21" s="66">
        <v>0</v>
      </c>
      <c r="Q21" s="66">
        <v>0</v>
      </c>
    </row>
    <row r="22" spans="1:17" s="20" customFormat="1" ht="15.75" customHeight="1" x14ac:dyDescent="0.2">
      <c r="A22" s="70" t="s">
        <v>212</v>
      </c>
      <c r="B22" s="72">
        <f>1*$B$11</f>
        <v>4.7741812279194118</v>
      </c>
      <c r="C22" s="70" t="s">
        <v>200</v>
      </c>
      <c r="D22" s="72">
        <f>1+1*$B$10</f>
        <v>4.7741812279194118</v>
      </c>
      <c r="E22" s="72">
        <f>1</f>
        <v>1</v>
      </c>
      <c r="F22" s="71" t="s">
        <v>197</v>
      </c>
      <c r="G22" s="71" t="s">
        <v>201</v>
      </c>
      <c r="H22" s="76" t="s">
        <v>231</v>
      </c>
      <c r="I22" s="23"/>
      <c r="P22" s="22"/>
    </row>
    <row r="23" spans="1:17" s="20" customFormat="1" ht="15.75" customHeight="1" x14ac:dyDescent="0.2">
      <c r="A23" s="70" t="s">
        <v>202</v>
      </c>
      <c r="B23" s="72">
        <f>1/4*$B$11</f>
        <v>1.1935453069798529</v>
      </c>
      <c r="C23" s="70" t="s">
        <v>207</v>
      </c>
      <c r="D23" s="72">
        <f>1/2+1/4*$B$10</f>
        <v>1.4435453069798529</v>
      </c>
      <c r="E23" s="72">
        <f>1/2</f>
        <v>0.5</v>
      </c>
      <c r="F23" s="71" t="s">
        <v>203</v>
      </c>
      <c r="G23" s="71" t="s">
        <v>201</v>
      </c>
      <c r="H23" s="76" t="s">
        <v>232</v>
      </c>
      <c r="I23" s="23"/>
      <c r="P23" s="22"/>
    </row>
    <row r="24" spans="1:17" s="20" customFormat="1" ht="15.75" customHeight="1" x14ac:dyDescent="0.2">
      <c r="A24" s="70" t="s">
        <v>204</v>
      </c>
      <c r="B24" s="72">
        <f>1*$B$11</f>
        <v>4.7741812279194118</v>
      </c>
      <c r="C24" s="70" t="s">
        <v>210</v>
      </c>
      <c r="D24" s="72">
        <f>1+1*$B$10</f>
        <v>4.7741812279194118</v>
      </c>
      <c r="E24" s="72">
        <f>1</f>
        <v>1</v>
      </c>
      <c r="F24" s="71" t="s">
        <v>205</v>
      </c>
      <c r="G24" s="71" t="s">
        <v>201</v>
      </c>
      <c r="H24" s="76" t="s">
        <v>233</v>
      </c>
      <c r="I24" s="23"/>
      <c r="P24" s="22"/>
    </row>
    <row r="25" spans="1:17" s="20" customFormat="1" ht="15.75" customHeight="1" x14ac:dyDescent="0.2">
      <c r="A25" s="70"/>
      <c r="B25" s="72"/>
      <c r="C25" s="70" t="s">
        <v>239</v>
      </c>
      <c r="D25" s="72"/>
      <c r="E25" s="72">
        <v>1</v>
      </c>
      <c r="F25" s="71" t="s">
        <v>237</v>
      </c>
      <c r="G25" s="71" t="s">
        <v>201</v>
      </c>
      <c r="H25" s="76" t="s">
        <v>238</v>
      </c>
      <c r="I25" s="23"/>
      <c r="P25" s="22"/>
    </row>
    <row r="26" spans="1:17" s="20" customFormat="1" ht="15.75" customHeight="1" x14ac:dyDescent="0.2">
      <c r="A26" s="70"/>
      <c r="B26" s="72"/>
      <c r="C26" s="70" t="s">
        <v>240</v>
      </c>
      <c r="D26" s="72"/>
      <c r="E26" s="72">
        <v>1</v>
      </c>
      <c r="F26" s="71" t="s">
        <v>241</v>
      </c>
      <c r="G26" s="71" t="s">
        <v>201</v>
      </c>
      <c r="H26" s="76" t="s">
        <v>242</v>
      </c>
      <c r="I26" s="23"/>
      <c r="P26" s="22"/>
    </row>
    <row r="27" spans="1:17" s="20" customFormat="1" ht="15.75" customHeight="1" x14ac:dyDescent="0.2">
      <c r="A27" s="70" t="s">
        <v>213</v>
      </c>
      <c r="B27" s="48">
        <f>-1/2*$B$11</f>
        <v>-2.3870906139597059</v>
      </c>
      <c r="C27" s="70" t="s">
        <v>214</v>
      </c>
      <c r="D27" s="66">
        <f>-1/2*$B$10</f>
        <v>-1.8870906139597059</v>
      </c>
      <c r="E27" s="66">
        <v>0</v>
      </c>
      <c r="F27" s="71" t="s">
        <v>208</v>
      </c>
      <c r="G27" s="71" t="s">
        <v>201</v>
      </c>
      <c r="H27" s="76" t="s">
        <v>234</v>
      </c>
      <c r="I27" s="23"/>
      <c r="P27" s="22"/>
    </row>
    <row r="28" spans="1:17" s="20" customFormat="1" ht="15.75" customHeight="1" x14ac:dyDescent="0.2">
      <c r="A28" s="70"/>
      <c r="B28" s="48"/>
      <c r="C28" s="70" t="s">
        <v>206</v>
      </c>
      <c r="D28" s="66">
        <f>1</f>
        <v>1</v>
      </c>
      <c r="E28" s="66">
        <f>1</f>
        <v>1</v>
      </c>
      <c r="F28" s="20" t="s">
        <v>209</v>
      </c>
      <c r="G28" s="71" t="s">
        <v>201</v>
      </c>
      <c r="H28" s="76" t="s">
        <v>235</v>
      </c>
      <c r="I28" s="23"/>
      <c r="P28" s="22"/>
    </row>
    <row r="29" spans="1:17" s="20" customFormat="1" ht="15.75" customHeight="1" x14ac:dyDescent="0.2">
      <c r="A29" s="70"/>
      <c r="B29" s="48"/>
      <c r="C29" s="70" t="s">
        <v>254</v>
      </c>
      <c r="D29" s="66">
        <f>1/2</f>
        <v>0.5</v>
      </c>
      <c r="E29" s="66">
        <f>1/2</f>
        <v>0.5</v>
      </c>
      <c r="F29" s="20" t="s">
        <v>211</v>
      </c>
      <c r="G29" s="71" t="s">
        <v>201</v>
      </c>
      <c r="H29" s="76" t="s">
        <v>236</v>
      </c>
      <c r="I29" s="23"/>
      <c r="M29" s="22"/>
      <c r="P29" s="22"/>
    </row>
    <row r="30" spans="1:17" ht="34.5" customHeight="1" x14ac:dyDescent="0.2">
      <c r="A30" s="11" t="s">
        <v>66</v>
      </c>
      <c r="B30" s="11" t="s">
        <v>98</v>
      </c>
      <c r="C30" s="150" t="s">
        <v>273</v>
      </c>
      <c r="D30" s="9" t="s">
        <v>272</v>
      </c>
      <c r="E30" s="9" t="s">
        <v>274</v>
      </c>
      <c r="H30" s="20"/>
      <c r="I30" s="20"/>
      <c r="J30" s="20"/>
      <c r="K30" s="20"/>
      <c r="L30" s="20"/>
      <c r="N30" s="128"/>
      <c r="O30" s="128"/>
      <c r="P30" s="9"/>
    </row>
    <row r="31" spans="1:17" ht="15.75" customHeight="1" x14ac:dyDescent="0.2">
      <c r="A31" s="11" t="s">
        <v>3</v>
      </c>
      <c r="B31" s="18">
        <v>12.0107</v>
      </c>
      <c r="C31" s="163">
        <f>716.7094</f>
        <v>716.70939999999996</v>
      </c>
      <c r="D31" s="162"/>
      <c r="H31" s="20"/>
      <c r="I31" s="67"/>
      <c r="J31" s="68"/>
      <c r="K31" s="68"/>
      <c r="L31" s="20"/>
      <c r="M31" s="18"/>
      <c r="P31" s="9"/>
    </row>
    <row r="32" spans="1:17" ht="15.75" customHeight="1" x14ac:dyDescent="0.2">
      <c r="A32" s="11" t="s">
        <v>4</v>
      </c>
      <c r="B32" s="18">
        <v>1.0079400000000001</v>
      </c>
      <c r="C32" s="9">
        <v>0</v>
      </c>
      <c r="D32" s="162"/>
      <c r="H32" s="20"/>
      <c r="I32" s="41"/>
      <c r="J32" s="39"/>
      <c r="K32" s="39"/>
      <c r="L32" s="20"/>
      <c r="M32" s="18"/>
      <c r="P32" s="9"/>
    </row>
    <row r="33" spans="1:16" ht="15.75" customHeight="1" x14ac:dyDescent="0.2">
      <c r="A33" s="11" t="s">
        <v>8</v>
      </c>
      <c r="B33" s="18">
        <v>15.9994</v>
      </c>
      <c r="H33" s="20"/>
      <c r="I33" s="20"/>
      <c r="J33" s="20"/>
      <c r="K33" s="20"/>
      <c r="L33" s="20"/>
      <c r="M33" s="18"/>
      <c r="P33" s="9"/>
    </row>
    <row r="34" spans="1:16" ht="15.75" customHeight="1" x14ac:dyDescent="0.2">
      <c r="A34" s="11" t="s">
        <v>5</v>
      </c>
      <c r="B34" s="18">
        <v>32.066000000000003</v>
      </c>
      <c r="H34" s="20"/>
      <c r="I34" s="20"/>
      <c r="J34" s="20"/>
      <c r="K34" s="20"/>
      <c r="L34" s="20"/>
      <c r="M34" s="18"/>
      <c r="P34" s="9"/>
    </row>
    <row r="35" spans="1:16" ht="15.75" customHeight="1" x14ac:dyDescent="0.2">
      <c r="A35" s="11" t="s">
        <v>6</v>
      </c>
      <c r="B35" s="18">
        <v>14.006740000000001</v>
      </c>
      <c r="H35" s="20"/>
      <c r="I35" s="20"/>
      <c r="J35" s="20"/>
      <c r="K35" s="20"/>
      <c r="L35" s="20"/>
      <c r="M35" s="18"/>
      <c r="P35" s="9"/>
    </row>
    <row r="36" spans="1:16" x14ac:dyDescent="0.2">
      <c r="A36" s="11" t="s">
        <v>38</v>
      </c>
      <c r="B36" s="18">
        <v>35.4527</v>
      </c>
      <c r="M36" s="18"/>
    </row>
    <row r="37" spans="1:16" ht="15.75" customHeight="1" x14ac:dyDescent="0.2">
      <c r="A37" s="11" t="s">
        <v>29</v>
      </c>
      <c r="B37" s="18">
        <v>28.958300000000001</v>
      </c>
      <c r="M37" s="18"/>
    </row>
    <row r="38" spans="1:16" ht="15.75" customHeight="1" x14ac:dyDescent="0.2">
      <c r="A38" s="11" t="s">
        <v>24</v>
      </c>
      <c r="B38" s="18">
        <f>2*B33</f>
        <v>31.998799999999999</v>
      </c>
      <c r="M38" s="18"/>
    </row>
    <row r="39" spans="1:16" ht="15.75" customHeight="1" x14ac:dyDescent="0.2">
      <c r="A39" s="11" t="s">
        <v>25</v>
      </c>
      <c r="B39" s="18">
        <f>2*B35</f>
        <v>28.013480000000001</v>
      </c>
      <c r="M39" s="18"/>
    </row>
    <row r="40" spans="1:16" ht="15.75" customHeight="1" x14ac:dyDescent="0.2">
      <c r="A40" s="11" t="s">
        <v>23</v>
      </c>
      <c r="B40" s="18">
        <f>2*B32</f>
        <v>2.0158800000000001</v>
      </c>
      <c r="C40" s="9">
        <f>C42</f>
        <v>-241.83789999999999</v>
      </c>
      <c r="M40" s="18"/>
    </row>
    <row r="41" spans="1:16" ht="15.75" customHeight="1" x14ac:dyDescent="0.2">
      <c r="A41" s="11" t="s">
        <v>85</v>
      </c>
      <c r="B41" s="18">
        <f>B32+B36</f>
        <v>36.460639999999998</v>
      </c>
      <c r="M41" s="18"/>
    </row>
    <row r="42" spans="1:16" ht="15.75" customHeight="1" x14ac:dyDescent="0.2">
      <c r="A42" s="11" t="s">
        <v>26</v>
      </c>
      <c r="B42" s="18">
        <f>2*B32+B33</f>
        <v>18.015280000000001</v>
      </c>
      <c r="C42" s="9">
        <v>-241.83789999999999</v>
      </c>
      <c r="D42" s="9">
        <v>-286.25</v>
      </c>
      <c r="M42" s="18"/>
    </row>
    <row r="43" spans="1:16" ht="15.75" customHeight="1" x14ac:dyDescent="0.2">
      <c r="A43" s="11" t="s">
        <v>35</v>
      </c>
      <c r="B43" s="18">
        <f>$B$31+2*$B$33</f>
        <v>44.009500000000003</v>
      </c>
      <c r="C43" s="9">
        <v>-393.5324</v>
      </c>
      <c r="M43" s="18"/>
    </row>
    <row r="44" spans="1:16" ht="15.75" customHeight="1" x14ac:dyDescent="0.2">
      <c r="A44" s="11" t="s">
        <v>28</v>
      </c>
      <c r="B44" s="18">
        <f>$B$31+$B$33</f>
        <v>28.010100000000001</v>
      </c>
      <c r="C44" s="9">
        <v>-110.53959999999999</v>
      </c>
      <c r="D44" s="162">
        <f>C44*100000</f>
        <v>-11053960</v>
      </c>
      <c r="E44" s="162">
        <v>-110539560</v>
      </c>
      <c r="J44" s="130"/>
      <c r="M44" s="18"/>
    </row>
    <row r="45" spans="1:16" ht="15.75" customHeight="1" x14ac:dyDescent="0.2">
      <c r="A45" s="11" t="s">
        <v>67</v>
      </c>
      <c r="B45" s="18">
        <f>$B$35+$B$33</f>
        <v>30.006140000000002</v>
      </c>
      <c r="M45" s="18"/>
    </row>
    <row r="46" spans="1:16" ht="15.75" customHeight="1" x14ac:dyDescent="0.2">
      <c r="A46" s="11" t="s">
        <v>36</v>
      </c>
      <c r="B46" s="18">
        <f>$B$35+2*$B$33</f>
        <v>46.005539999999996</v>
      </c>
      <c r="J46" s="131"/>
      <c r="M46" s="18"/>
    </row>
    <row r="47" spans="1:16" ht="15.75" customHeight="1" x14ac:dyDescent="0.2">
      <c r="A47" s="10" t="s">
        <v>63</v>
      </c>
      <c r="B47" s="132">
        <f>$B$34+2*$B$33</f>
        <v>64.064800000000005</v>
      </c>
      <c r="M47" s="132"/>
    </row>
    <row r="48" spans="1:16" ht="15.75" customHeight="1" x14ac:dyDescent="0.2">
      <c r="A48" s="10" t="s">
        <v>68</v>
      </c>
      <c r="B48" s="132">
        <f>$B$34+3*$B$33</f>
        <v>80.0642</v>
      </c>
      <c r="F48" s="11"/>
      <c r="G48" s="11"/>
      <c r="M48" s="132"/>
    </row>
    <row r="49" spans="1:13" ht="15.75" customHeight="1" x14ac:dyDescent="0.2">
      <c r="A49" s="10" t="s">
        <v>99</v>
      </c>
      <c r="B49" s="132">
        <f>$B$34+4*$B$33</f>
        <v>96.063600000000008</v>
      </c>
      <c r="F49" s="11"/>
      <c r="G49" s="11"/>
      <c r="M49" s="132"/>
    </row>
    <row r="50" spans="1:13" ht="15.75" customHeight="1" x14ac:dyDescent="0.2">
      <c r="A50" s="10" t="s">
        <v>100</v>
      </c>
      <c r="B50" s="132">
        <f>$B$34+4*$B$33-2*B32/1837.4</f>
        <v>96.062502862740843</v>
      </c>
      <c r="F50" s="11"/>
      <c r="G50" s="11"/>
      <c r="M50" s="132"/>
    </row>
    <row r="51" spans="1:13" ht="15.75" customHeight="1" x14ac:dyDescent="0.2">
      <c r="A51" s="10" t="s">
        <v>64</v>
      </c>
      <c r="B51" s="132">
        <f>$B$40+$B$34+2*$B$38</f>
        <v>98.079480000000004</v>
      </c>
      <c r="F51" s="11"/>
      <c r="G51" s="11"/>
      <c r="M51" s="132"/>
    </row>
    <row r="52" spans="1:13" ht="15.75" customHeight="1" x14ac:dyDescent="0.2">
      <c r="A52" s="11" t="s">
        <v>27</v>
      </c>
      <c r="B52" s="18">
        <f>$B$31+4*$B$32</f>
        <v>16.042459999999998</v>
      </c>
      <c r="C52" s="9">
        <v>-74.895179999999996</v>
      </c>
      <c r="F52" s="11"/>
      <c r="G52" s="11"/>
      <c r="M52" s="18"/>
    </row>
    <row r="53" spans="1:13" ht="15.75" customHeight="1" x14ac:dyDescent="0.2">
      <c r="A53" s="10" t="s">
        <v>30</v>
      </c>
      <c r="B53" s="132">
        <f>3*$B$31+8*$B$32</f>
        <v>44.095619999999997</v>
      </c>
      <c r="F53" s="11"/>
      <c r="G53" s="11"/>
      <c r="M53" s="132"/>
    </row>
    <row r="54" spans="1:13" ht="15.75" customHeight="1" x14ac:dyDescent="0.2">
      <c r="A54" s="10" t="s">
        <v>60</v>
      </c>
      <c r="B54" s="132">
        <f>4*$B$31+10*$B$32</f>
        <v>58.122199999999999</v>
      </c>
      <c r="J54" s="127"/>
      <c r="M54" s="132"/>
    </row>
    <row r="55" spans="1:13" ht="15.75" customHeight="1" x14ac:dyDescent="0.2">
      <c r="A55" s="10" t="s">
        <v>101</v>
      </c>
      <c r="B55" s="11">
        <f>2*$B$31+6*$B$32</f>
        <v>30.069040000000001</v>
      </c>
      <c r="M55" s="11"/>
    </row>
    <row r="56" spans="1:13" ht="15.75" customHeight="1" x14ac:dyDescent="0.2">
      <c r="A56" s="10" t="s">
        <v>102</v>
      </c>
      <c r="B56" s="11">
        <f>3*$B$31+6*$B$32</f>
        <v>42.079740000000001</v>
      </c>
      <c r="M56" s="11"/>
    </row>
    <row r="57" spans="1:13" ht="15.75" customHeight="1" x14ac:dyDescent="0.2">
      <c r="A57" s="10" t="s">
        <v>306</v>
      </c>
      <c r="B57" s="11">
        <f>5*$B$31+12*$B$32</f>
        <v>72.148780000000002</v>
      </c>
      <c r="M57" s="11"/>
    </row>
    <row r="58" spans="1:13" ht="15.75" customHeight="1" x14ac:dyDescent="0.2">
      <c r="A58" s="10" t="s">
        <v>307</v>
      </c>
      <c r="B58" s="11">
        <f>6*$B$31+14*$B$32</f>
        <v>86.175359999999998</v>
      </c>
      <c r="M58" s="11"/>
    </row>
    <row r="59" spans="1:13" ht="15.75" customHeight="1" x14ac:dyDescent="0.2">
      <c r="A59" s="10" t="s">
        <v>39</v>
      </c>
      <c r="B59" s="132">
        <v>22.98977</v>
      </c>
    </row>
    <row r="60" spans="1:13" ht="15.75" customHeight="1" x14ac:dyDescent="0.2">
      <c r="A60" s="10" t="s">
        <v>103</v>
      </c>
      <c r="B60" s="132">
        <f>2*B59+B33</f>
        <v>61.978940000000001</v>
      </c>
    </row>
    <row r="61" spans="1:13" ht="15.75" customHeight="1" x14ac:dyDescent="0.2">
      <c r="A61" s="10" t="s">
        <v>40</v>
      </c>
      <c r="B61" s="132">
        <v>39.098300000000002</v>
      </c>
    </row>
    <row r="62" spans="1:13" ht="15.75" customHeight="1" x14ac:dyDescent="0.2">
      <c r="A62" s="10" t="s">
        <v>41</v>
      </c>
      <c r="B62" s="132">
        <v>24.305</v>
      </c>
    </row>
    <row r="63" spans="1:13" ht="15.75" customHeight="1" x14ac:dyDescent="0.2">
      <c r="A63" s="10" t="s">
        <v>42</v>
      </c>
      <c r="B63" s="132">
        <v>40.078000000000003</v>
      </c>
    </row>
    <row r="64" spans="1:13" ht="15.75" customHeight="1" x14ac:dyDescent="0.2">
      <c r="A64" s="10" t="s">
        <v>43</v>
      </c>
      <c r="B64" s="132">
        <v>55.844999999999999</v>
      </c>
    </row>
    <row r="65" spans="1:17" ht="15.75" customHeight="1" x14ac:dyDescent="0.2">
      <c r="A65" s="10" t="s">
        <v>44</v>
      </c>
      <c r="B65" s="132">
        <v>28.0855</v>
      </c>
    </row>
    <row r="66" spans="1:17" ht="15.75" customHeight="1" x14ac:dyDescent="0.2">
      <c r="A66" s="10" t="s">
        <v>47</v>
      </c>
      <c r="B66" s="132">
        <v>26.981538</v>
      </c>
      <c r="I66" s="10"/>
      <c r="P66" s="13"/>
    </row>
    <row r="67" spans="1:17" ht="15.75" customHeight="1" x14ac:dyDescent="0.2">
      <c r="A67" s="10" t="s">
        <v>55</v>
      </c>
      <c r="B67" s="132">
        <v>137.327</v>
      </c>
      <c r="I67" s="10"/>
      <c r="P67" s="13"/>
    </row>
    <row r="68" spans="1:17" ht="15.75" customHeight="1" x14ac:dyDescent="0.2">
      <c r="A68" s="10" t="s">
        <v>56</v>
      </c>
      <c r="B68" s="132">
        <v>30.973761</v>
      </c>
    </row>
    <row r="69" spans="1:17" ht="15.75" customHeight="1" x14ac:dyDescent="0.2">
      <c r="A69" s="10" t="s">
        <v>57</v>
      </c>
      <c r="B69" s="132">
        <v>87.62</v>
      </c>
    </row>
    <row r="70" spans="1:17" x14ac:dyDescent="0.2">
      <c r="A70" s="10" t="s">
        <v>58</v>
      </c>
      <c r="B70" s="132">
        <v>47.866999999999997</v>
      </c>
      <c r="I70" s="10"/>
      <c r="J70" s="128"/>
      <c r="P70" s="13"/>
      <c r="Q70" s="10"/>
    </row>
    <row r="71" spans="1:17" ht="15.75" customHeight="1" x14ac:dyDescent="0.2">
      <c r="A71" s="10" t="s">
        <v>59</v>
      </c>
      <c r="B71" s="132">
        <v>54.938048999999999</v>
      </c>
      <c r="I71" s="10"/>
      <c r="P71" s="13"/>
    </row>
    <row r="72" spans="1:17" ht="15.75" customHeight="1" x14ac:dyDescent="0.2">
      <c r="A72" s="10" t="s">
        <v>104</v>
      </c>
      <c r="B72" s="132">
        <f>$B$65+$B$38</f>
        <v>60.084299999999999</v>
      </c>
      <c r="I72" s="10"/>
      <c r="P72" s="13"/>
    </row>
    <row r="73" spans="1:17" ht="15.75" customHeight="1" x14ac:dyDescent="0.2">
      <c r="I73" s="10"/>
      <c r="P73" s="13"/>
      <c r="Q73" s="12"/>
    </row>
    <row r="74" spans="1:17" ht="34.5" customHeight="1" x14ac:dyDescent="0.2">
      <c r="A74" s="128" t="s">
        <v>45</v>
      </c>
      <c r="B74" s="128"/>
      <c r="C74" s="128"/>
      <c r="D74" s="128"/>
      <c r="E74" s="128"/>
    </row>
    <row r="75" spans="1:17" ht="15.75" customHeight="1" x14ac:dyDescent="0.2">
      <c r="A75" s="10" t="s">
        <v>24</v>
      </c>
      <c r="B75" s="13">
        <f>$B$38/$B$9/1000</f>
        <v>1.4276276293425598</v>
      </c>
      <c r="F75" s="13"/>
      <c r="G75" s="13"/>
    </row>
    <row r="76" spans="1:17" ht="15.75" customHeight="1" x14ac:dyDescent="0.2">
      <c r="A76" s="10" t="s">
        <v>35</v>
      </c>
      <c r="B76" s="13">
        <f>$B$43/$B$9/1000</f>
        <v>1.9634854480027815</v>
      </c>
    </row>
    <row r="77" spans="1:17" ht="15.75" customHeight="1" x14ac:dyDescent="0.2">
      <c r="A77" s="10" t="s">
        <v>28</v>
      </c>
      <c r="B77" s="13">
        <f>$B$44/$B$9/1000</f>
        <v>1.2496716333315012</v>
      </c>
    </row>
    <row r="78" spans="1:17" ht="15.75" customHeight="1" x14ac:dyDescent="0.2">
      <c r="A78" s="10" t="s">
        <v>105</v>
      </c>
      <c r="B78" s="13">
        <f>$B$31/$B$9/1000</f>
        <v>0.5358578186602212</v>
      </c>
    </row>
    <row r="79" spans="1:17" ht="15.75" customHeight="1" x14ac:dyDescent="0.2">
      <c r="A79" s="10" t="s">
        <v>106</v>
      </c>
      <c r="B79" s="13">
        <f>3*$B$31/$B$9/1000</f>
        <v>1.6075734559806636</v>
      </c>
    </row>
    <row r="80" spans="1:17" ht="15.75" customHeight="1" x14ac:dyDescent="0.2">
      <c r="A80" s="10" t="s">
        <v>107</v>
      </c>
      <c r="B80" s="13">
        <f>$B$47/$B$9/1000</f>
        <v>2.8582533891366317</v>
      </c>
    </row>
    <row r="81" spans="1:16" ht="15.75" customHeight="1" x14ac:dyDescent="0.2">
      <c r="A81" s="10" t="s">
        <v>85</v>
      </c>
      <c r="B81" s="13">
        <f>$B$41/$B$9/1000</f>
        <v>1.6266927837141554</v>
      </c>
    </row>
    <row r="82" spans="1:16" ht="15.75" customHeight="1" x14ac:dyDescent="0.2">
      <c r="A82" s="10" t="s">
        <v>37</v>
      </c>
      <c r="B82" s="13">
        <f>$B$46/$B$9/1000</f>
        <v>2.0525388454199627</v>
      </c>
    </row>
    <row r="83" spans="1:16" ht="34.5" customHeight="1" x14ac:dyDescent="0.2">
      <c r="A83" s="128" t="s">
        <v>72</v>
      </c>
      <c r="B83" s="128"/>
      <c r="C83" s="128"/>
      <c r="D83" s="128"/>
      <c r="E83" s="128"/>
      <c r="H83" s="10"/>
      <c r="I83" s="10"/>
      <c r="P83" s="10"/>
    </row>
    <row r="84" spans="1:16" s="11" customFormat="1" ht="15.75" customHeight="1" x14ac:dyDescent="0.2">
      <c r="A84" s="10" t="s">
        <v>226</v>
      </c>
      <c r="B84" s="10" t="s">
        <v>225</v>
      </c>
      <c r="C84" s="10" t="s">
        <v>227</v>
      </c>
      <c r="D84" s="11" t="s">
        <v>228</v>
      </c>
      <c r="F84" s="10"/>
      <c r="G84" s="10"/>
      <c r="N84" s="10"/>
    </row>
    <row r="85" spans="1:16" s="11" customFormat="1" ht="15.75" customHeight="1" x14ac:dyDescent="0.2">
      <c r="A85" s="10">
        <f>C85/$C$85</f>
        <v>1</v>
      </c>
      <c r="B85" s="10">
        <f>C85/$C$85*100</f>
        <v>100</v>
      </c>
      <c r="C85" s="133">
        <v>1000000</v>
      </c>
      <c r="D85" s="134">
        <f>1/C85</f>
        <v>9.9999999999999995E-7</v>
      </c>
      <c r="E85" s="134"/>
      <c r="F85" s="10"/>
      <c r="G85" s="10"/>
      <c r="N85" s="10"/>
    </row>
    <row r="86" spans="1:16" s="11" customFormat="1" ht="15.75" customHeight="1" x14ac:dyDescent="0.2">
      <c r="A86" s="10">
        <f t="shared" ref="A86:A91" si="0">C86/$C$85</f>
        <v>0.1</v>
      </c>
      <c r="B86" s="10">
        <f t="shared" ref="B86:B91" si="1">C86/$C$85*100</f>
        <v>10</v>
      </c>
      <c r="C86" s="133">
        <v>100000</v>
      </c>
      <c r="D86" s="134">
        <f t="shared" ref="D86:D91" si="2">1/C86</f>
        <v>1.0000000000000001E-5</v>
      </c>
      <c r="E86" s="134"/>
      <c r="F86" s="10"/>
      <c r="G86" s="10"/>
      <c r="N86" s="10"/>
    </row>
    <row r="87" spans="1:16" ht="15.75" customHeight="1" x14ac:dyDescent="0.2">
      <c r="A87" s="10">
        <f t="shared" si="0"/>
        <v>0.01</v>
      </c>
      <c r="B87" s="10">
        <f t="shared" si="1"/>
        <v>1</v>
      </c>
      <c r="C87" s="133">
        <v>10000</v>
      </c>
      <c r="D87" s="134">
        <f t="shared" si="2"/>
        <v>1E-4</v>
      </c>
      <c r="E87" s="134"/>
      <c r="F87" s="135"/>
      <c r="G87" s="136"/>
      <c r="N87" s="132"/>
      <c r="P87" s="9"/>
    </row>
    <row r="88" spans="1:16" ht="15.75" customHeight="1" x14ac:dyDescent="0.2">
      <c r="A88" s="10">
        <f t="shared" si="0"/>
        <v>1E-3</v>
      </c>
      <c r="B88" s="10">
        <f t="shared" si="1"/>
        <v>0.1</v>
      </c>
      <c r="C88" s="133">
        <v>1000</v>
      </c>
      <c r="D88" s="134">
        <f t="shared" si="2"/>
        <v>1E-3</v>
      </c>
      <c r="E88" s="134"/>
      <c r="F88" s="135"/>
      <c r="G88" s="136"/>
      <c r="N88" s="132"/>
      <c r="P88" s="9"/>
    </row>
    <row r="89" spans="1:16" ht="15.75" customHeight="1" x14ac:dyDescent="0.2">
      <c r="A89" s="137">
        <f t="shared" si="0"/>
        <v>1E-4</v>
      </c>
      <c r="B89" s="10">
        <f t="shared" si="1"/>
        <v>0.01</v>
      </c>
      <c r="C89" s="133">
        <v>100</v>
      </c>
      <c r="D89" s="134">
        <f t="shared" si="2"/>
        <v>0.01</v>
      </c>
      <c r="E89" s="134"/>
      <c r="F89" s="135"/>
      <c r="G89" s="136"/>
      <c r="N89" s="132"/>
      <c r="P89" s="9"/>
    </row>
    <row r="90" spans="1:16" ht="15.75" customHeight="1" x14ac:dyDescent="0.2">
      <c r="A90" s="137">
        <f t="shared" si="0"/>
        <v>1.0000000000000001E-5</v>
      </c>
      <c r="B90" s="10">
        <f t="shared" si="1"/>
        <v>1E-3</v>
      </c>
      <c r="C90" s="133">
        <v>10</v>
      </c>
      <c r="D90" s="134">
        <f t="shared" si="2"/>
        <v>0.1</v>
      </c>
      <c r="E90" s="134"/>
      <c r="F90" s="135"/>
      <c r="G90" s="136"/>
      <c r="N90" s="132"/>
      <c r="P90" s="9"/>
    </row>
    <row r="91" spans="1:16" ht="15.75" customHeight="1" x14ac:dyDescent="0.2">
      <c r="A91" s="137">
        <f t="shared" si="0"/>
        <v>9.9999999999999995E-7</v>
      </c>
      <c r="B91" s="10">
        <f t="shared" si="1"/>
        <v>9.9999999999999991E-5</v>
      </c>
      <c r="C91" s="133">
        <v>1</v>
      </c>
      <c r="D91" s="134">
        <f t="shared" si="2"/>
        <v>1</v>
      </c>
      <c r="E91" s="134"/>
      <c r="F91" s="135"/>
      <c r="G91" s="136"/>
      <c r="N91" s="132"/>
      <c r="P91" s="9"/>
    </row>
    <row r="92" spans="1:16" ht="34.5" customHeight="1" x14ac:dyDescent="0.2">
      <c r="A92" s="200" t="s">
        <v>170</v>
      </c>
      <c r="B92" s="200"/>
      <c r="C92" s="200"/>
      <c r="D92" s="138"/>
      <c r="E92" s="138"/>
      <c r="H92" s="24"/>
      <c r="I92" s="139"/>
      <c r="P92" s="140"/>
    </row>
    <row r="93" spans="1:16" ht="15" customHeight="1" x14ac:dyDescent="0.2">
      <c r="A93" s="10"/>
      <c r="B93" s="18">
        <v>1392.3810000000001</v>
      </c>
    </row>
    <row r="94" spans="1:16" ht="15" customHeight="1" x14ac:dyDescent="0.2">
      <c r="A94" s="10" t="s">
        <v>42</v>
      </c>
      <c r="B94" s="18">
        <v>7.774</v>
      </c>
    </row>
    <row r="95" spans="1:16" ht="15" customHeight="1" x14ac:dyDescent="0.2">
      <c r="A95" s="10" t="s">
        <v>43</v>
      </c>
      <c r="B95" s="18">
        <v>2.0790000000000002</v>
      </c>
    </row>
    <row r="96" spans="1:16" ht="15" customHeight="1" x14ac:dyDescent="0.2">
      <c r="A96" s="10" t="s">
        <v>41</v>
      </c>
      <c r="B96" s="18">
        <v>-34.662999999999997</v>
      </c>
    </row>
    <row r="97" spans="1:17" ht="15" customHeight="1" x14ac:dyDescent="0.2">
      <c r="A97" s="10" t="s">
        <v>40</v>
      </c>
      <c r="B97" s="18">
        <v>-3.2010000000000001</v>
      </c>
      <c r="H97" s="141"/>
      <c r="Q97" s="141"/>
    </row>
    <row r="98" spans="1:17" ht="15" customHeight="1" x14ac:dyDescent="0.2">
      <c r="A98" s="10" t="s">
        <v>44</v>
      </c>
      <c r="B98" s="18">
        <v>-17.943000000000001</v>
      </c>
    </row>
    <row r="99" spans="1:17" ht="15" customHeight="1" x14ac:dyDescent="0.2">
      <c r="A99" s="10" t="s">
        <v>39</v>
      </c>
      <c r="B99" s="18">
        <v>1.6639999999999999</v>
      </c>
      <c r="H99" s="24"/>
      <c r="Q99" s="141"/>
    </row>
    <row r="100" spans="1:17" ht="34.5" customHeight="1" x14ac:dyDescent="0.2">
      <c r="A100" s="200" t="s">
        <v>65</v>
      </c>
      <c r="B100" s="200"/>
      <c r="C100" s="200"/>
      <c r="D100" s="138"/>
      <c r="E100" s="138"/>
    </row>
    <row r="101" spans="1:17" ht="15" customHeight="1" x14ac:dyDescent="0.2">
      <c r="A101" s="10"/>
      <c r="B101" s="18">
        <v>1682.81</v>
      </c>
    </row>
    <row r="102" spans="1:17" ht="15" customHeight="1" x14ac:dyDescent="0.2">
      <c r="A102" s="10" t="s">
        <v>42</v>
      </c>
      <c r="B102" s="18">
        <v>9.1120000000000001</v>
      </c>
    </row>
    <row r="103" spans="1:17" ht="15" customHeight="1" x14ac:dyDescent="0.2">
      <c r="A103" s="10" t="s">
        <v>43</v>
      </c>
      <c r="B103" s="18">
        <v>5.5229999999999997</v>
      </c>
    </row>
    <row r="104" spans="1:17" ht="15" customHeight="1" x14ac:dyDescent="0.2">
      <c r="A104" s="10" t="s">
        <v>41</v>
      </c>
      <c r="B104" s="18">
        <v>-36.725000000000001</v>
      </c>
    </row>
    <row r="105" spans="1:17" ht="15" customHeight="1" x14ac:dyDescent="0.2">
      <c r="A105" s="10" t="s">
        <v>40</v>
      </c>
      <c r="B105" s="18">
        <v>-1.383</v>
      </c>
    </row>
    <row r="106" spans="1:17" ht="15" customHeight="1" x14ac:dyDescent="0.2">
      <c r="A106" s="10" t="s">
        <v>44</v>
      </c>
      <c r="B106" s="18">
        <v>-37.18</v>
      </c>
    </row>
    <row r="107" spans="1:17" ht="15" customHeight="1" x14ac:dyDescent="0.2">
      <c r="A107" s="10" t="s">
        <v>39</v>
      </c>
      <c r="B107" s="18">
        <v>23.081</v>
      </c>
    </row>
    <row r="108" spans="1:17" ht="34.5" customHeight="1" x14ac:dyDescent="0.2">
      <c r="A108" s="200" t="s">
        <v>46</v>
      </c>
      <c r="B108" s="200"/>
      <c r="C108" s="200"/>
      <c r="D108" s="138"/>
      <c r="E108" s="138"/>
    </row>
    <row r="109" spans="1:17" ht="15.75" customHeight="1" x14ac:dyDescent="0.2">
      <c r="A109" s="10" t="s">
        <v>162</v>
      </c>
      <c r="B109" s="18">
        <f>2*$B$66/(2*$B$66+3*$B$33)</f>
        <v>0.52925069317492657</v>
      </c>
    </row>
    <row r="110" spans="1:17" ht="16.5" customHeight="1" x14ac:dyDescent="0.2">
      <c r="A110" s="10" t="s">
        <v>62</v>
      </c>
      <c r="B110" s="18">
        <f>$B$63/($B$63+$B$33)</f>
        <v>0.7146907666903245</v>
      </c>
    </row>
    <row r="111" spans="1:17" ht="16.5" customHeight="1" x14ac:dyDescent="0.2">
      <c r="A111" s="10" t="s">
        <v>163</v>
      </c>
      <c r="B111" s="18">
        <f>2*$B$64/(2*$B$64+3*$B$33)</f>
        <v>0.69942550545375304</v>
      </c>
    </row>
    <row r="112" spans="1:17" ht="16.5" customHeight="1" x14ac:dyDescent="0.2">
      <c r="A112" s="10" t="s">
        <v>61</v>
      </c>
      <c r="B112" s="18">
        <f>$B$62/($B$62+$B$33)</f>
        <v>0.60303589682516046</v>
      </c>
    </row>
    <row r="113" spans="1:16" ht="15.75" customHeight="1" x14ac:dyDescent="0.2">
      <c r="A113" s="10" t="s">
        <v>164</v>
      </c>
      <c r="B113" s="18">
        <f>2*$B$68/(2*$B$68+5*$B$33)</f>
        <v>0.4364206601787704</v>
      </c>
    </row>
    <row r="114" spans="1:16" ht="16.5" customHeight="1" x14ac:dyDescent="0.2">
      <c r="A114" s="10" t="s">
        <v>165</v>
      </c>
      <c r="B114" s="18">
        <f>2*$B$61/(2*$B$61+$B$33)</f>
        <v>0.83014777697566777</v>
      </c>
    </row>
    <row r="115" spans="1:16" ht="15.75" customHeight="1" x14ac:dyDescent="0.2">
      <c r="A115" s="10" t="s">
        <v>166</v>
      </c>
      <c r="B115" s="18">
        <f>$B$65/($B$65+2*$B$33)</f>
        <v>0.46743492060321917</v>
      </c>
    </row>
    <row r="116" spans="1:16" ht="16.5" customHeight="1" x14ac:dyDescent="0.2">
      <c r="A116" s="10" t="s">
        <v>167</v>
      </c>
      <c r="B116" s="18">
        <f>2*$B$59/(2*$B$59+$B$33)</f>
        <v>0.74185747610397978</v>
      </c>
    </row>
    <row r="117" spans="1:16" ht="15.75" customHeight="1" x14ac:dyDescent="0.2">
      <c r="A117" s="10" t="s">
        <v>168</v>
      </c>
      <c r="B117" s="18">
        <f>$B$70/($B$70+2*$B$33)</f>
        <v>0.59934289771091009</v>
      </c>
    </row>
    <row r="118" spans="1:16" ht="34.5" customHeight="1" x14ac:dyDescent="0.2">
      <c r="A118" s="128" t="s">
        <v>72</v>
      </c>
      <c r="H118" s="10"/>
      <c r="I118" s="10"/>
      <c r="P118" s="10"/>
    </row>
    <row r="119" spans="1:16" ht="15.75" customHeight="1" x14ac:dyDescent="0.2">
      <c r="A119" s="10" t="s">
        <v>289</v>
      </c>
      <c r="B119" s="9" t="s">
        <v>303</v>
      </c>
      <c r="C119" s="128" t="s">
        <v>12</v>
      </c>
      <c r="D119" s="128" t="s">
        <v>290</v>
      </c>
      <c r="E119" s="128" t="s">
        <v>291</v>
      </c>
      <c r="F119" s="128" t="s">
        <v>292</v>
      </c>
    </row>
    <row r="120" spans="1:16" ht="15.75" customHeight="1" x14ac:dyDescent="0.2">
      <c r="A120" s="10" t="s">
        <v>293</v>
      </c>
      <c r="B120" s="11">
        <v>860</v>
      </c>
      <c r="C120" s="10">
        <v>1</v>
      </c>
      <c r="D120" s="175">
        <f>$C$120/3600</f>
        <v>2.7777777777777778E-4</v>
      </c>
      <c r="E120" s="176">
        <f>$C$120/3600*$B$120/1000</f>
        <v>2.3888888888888891E-4</v>
      </c>
      <c r="F120" s="19">
        <f>$C$120/3600*$B$120</f>
        <v>0.2388888888888889</v>
      </c>
    </row>
    <row r="121" spans="1:16" ht="15.75" customHeight="1" x14ac:dyDescent="0.2">
      <c r="A121" s="10" t="s">
        <v>287</v>
      </c>
      <c r="B121" s="11">
        <v>0.79</v>
      </c>
      <c r="C121" s="10">
        <v>1</v>
      </c>
      <c r="D121" s="175">
        <f>$C$121/3600</f>
        <v>2.7777777777777778E-4</v>
      </c>
      <c r="E121" s="176">
        <f>$C$121/3600*$B$121/1000</f>
        <v>2.1944444444444445E-7</v>
      </c>
      <c r="F121" s="175">
        <f>$C$121/3600*$B$121</f>
        <v>2.1944444444444444E-4</v>
      </c>
    </row>
    <row r="122" spans="1:16" ht="15.75" customHeight="1" x14ac:dyDescent="0.2">
      <c r="A122" s="10" t="s">
        <v>311</v>
      </c>
      <c r="B122" s="11">
        <v>2.0070000000000001</v>
      </c>
      <c r="C122" s="10">
        <v>1</v>
      </c>
      <c r="D122" s="175">
        <f>$C$122/3600</f>
        <v>2.7777777777777778E-4</v>
      </c>
      <c r="E122" s="176">
        <f>$C$122/3600*$B$122/1000</f>
        <v>5.5750000000000006E-7</v>
      </c>
      <c r="F122" s="175">
        <f>$C$122/3600*$B$122</f>
        <v>5.5750000000000005E-4</v>
      </c>
    </row>
    <row r="123" spans="1:16" ht="34.5" customHeight="1" x14ac:dyDescent="0.2">
      <c r="A123" s="128" t="s">
        <v>302</v>
      </c>
      <c r="B123" s="9" t="s">
        <v>294</v>
      </c>
      <c r="H123" s="10"/>
      <c r="I123" s="10"/>
      <c r="P123" s="10"/>
    </row>
    <row r="124" spans="1:16" ht="15.75" customHeight="1" x14ac:dyDescent="0.2">
      <c r="A124" s="11" t="s">
        <v>7</v>
      </c>
      <c r="B124" s="177">
        <f>SUM(B125:B132)</f>
        <v>99.86</v>
      </c>
      <c r="C124" s="178" t="s">
        <v>308</v>
      </c>
      <c r="D124" s="178" t="s">
        <v>309</v>
      </c>
      <c r="E124" s="178" t="s">
        <v>305</v>
      </c>
      <c r="F124" s="178" t="s">
        <v>304</v>
      </c>
      <c r="H124" s="18"/>
    </row>
    <row r="125" spans="1:16" ht="15.75" customHeight="1" x14ac:dyDescent="0.2">
      <c r="A125" s="10" t="s">
        <v>295</v>
      </c>
      <c r="B125" s="10">
        <v>90.73</v>
      </c>
      <c r="C125" s="18">
        <f>$B125/100*$B$52</f>
        <v>14.555323957999999</v>
      </c>
      <c r="D125" s="18">
        <f>$C125/SUM($C$125:$C$132)*100</f>
        <v>82.968581212536449</v>
      </c>
      <c r="E125" s="174">
        <f>$B$31*$D125/100/$B$52*100</f>
        <v>62.117077952471853</v>
      </c>
      <c r="F125" s="174">
        <f>4*$B$32*$D125/100/$B$52*100</f>
        <v>20.851503260064604</v>
      </c>
    </row>
    <row r="126" spans="1:16" ht="15.75" customHeight="1" x14ac:dyDescent="0.2">
      <c r="A126" s="10" t="s">
        <v>296</v>
      </c>
      <c r="B126" s="10">
        <v>0.87</v>
      </c>
      <c r="C126" s="18">
        <f>$B126/100*$B$35</f>
        <v>0.12185863799999999</v>
      </c>
      <c r="D126" s="18">
        <f t="shared" ref="D126:D132" si="3">$C126/SUM($C$125:$C$132)*100</f>
        <v>0.69462131743176425</v>
      </c>
      <c r="E126" s="174">
        <f>0*$B$31*$D126/100/$B$39*100</f>
        <v>0</v>
      </c>
      <c r="F126" s="174">
        <f>0*$B$31*$D126/100/$B$40*100</f>
        <v>0</v>
      </c>
    </row>
    <row r="127" spans="1:16" ht="15.75" customHeight="1" x14ac:dyDescent="0.2">
      <c r="A127" s="10" t="s">
        <v>297</v>
      </c>
      <c r="B127" s="10">
        <v>1.8</v>
      </c>
      <c r="C127" s="18">
        <f>$B127/100*$B$43</f>
        <v>0.79217100000000018</v>
      </c>
      <c r="D127" s="18">
        <f t="shared" si="3"/>
        <v>4.5155507453746386</v>
      </c>
      <c r="E127" s="174">
        <f>0*$B$31*$D127/100/$B$43*100</f>
        <v>0</v>
      </c>
      <c r="F127" s="174">
        <f>0*$B$40*$D127/100/$B$43*100</f>
        <v>0</v>
      </c>
    </row>
    <row r="128" spans="1:16" ht="15.75" customHeight="1" x14ac:dyDescent="0.2">
      <c r="A128" s="10" t="s">
        <v>298</v>
      </c>
      <c r="B128" s="10">
        <v>5.61</v>
      </c>
      <c r="C128" s="18">
        <f>$B128/100*$B$55</f>
        <v>1.6868731440000002</v>
      </c>
      <c r="D128" s="18">
        <f t="shared" si="3"/>
        <v>9.6155517972024462</v>
      </c>
      <c r="E128" s="174">
        <f>2*$B$31*$D128/100/$B$55*100</f>
        <v>7.6816225573320214</v>
      </c>
      <c r="F128" s="174">
        <f>6*$B$32*$D128/100/$B$55*100</f>
        <v>1.9339292398704251</v>
      </c>
    </row>
    <row r="129" spans="1:8" ht="15.75" customHeight="1" x14ac:dyDescent="0.2">
      <c r="A129" s="10" t="s">
        <v>299</v>
      </c>
      <c r="B129" s="10">
        <v>0.72</v>
      </c>
      <c r="C129" s="18">
        <f>$B129/100*$B$56</f>
        <v>0.30297412800000001</v>
      </c>
      <c r="D129" s="18">
        <f t="shared" si="3"/>
        <v>1.7270198600045077</v>
      </c>
      <c r="E129" s="174">
        <f>3*$B$31*$D129/100/$B$53*100</f>
        <v>1.4112093740300835</v>
      </c>
      <c r="F129" s="174">
        <f>8*$B$32*$D129/100/$B$53*100</f>
        <v>0.3158104859744244</v>
      </c>
    </row>
    <row r="130" spans="1:8" ht="15.75" customHeight="1" x14ac:dyDescent="0.2">
      <c r="A130" s="10" t="s">
        <v>300</v>
      </c>
      <c r="B130" s="10">
        <v>0.09</v>
      </c>
      <c r="C130" s="18">
        <f>$B130/100*$B$54</f>
        <v>5.2309979999999999E-2</v>
      </c>
      <c r="D130" s="18">
        <f t="shared" si="3"/>
        <v>0.29817851092697456</v>
      </c>
      <c r="E130" s="174">
        <f>4*$B$31*$D130/100/$B$54*100</f>
        <v>0.24646917296252471</v>
      </c>
      <c r="F130" s="174">
        <f>410*$B$32*$D130/100/$B$54*100</f>
        <v>2.1200828565424441</v>
      </c>
    </row>
    <row r="131" spans="1:8" ht="15.75" customHeight="1" x14ac:dyDescent="0.2">
      <c r="A131" s="10" t="s">
        <v>301</v>
      </c>
      <c r="B131" s="10">
        <v>0.02</v>
      </c>
      <c r="C131" s="18">
        <f>$B131/100*$B$57</f>
        <v>1.4429756000000002E-2</v>
      </c>
      <c r="D131" s="18">
        <f t="shared" si="3"/>
        <v>8.2252815946776844E-2</v>
      </c>
      <c r="E131" s="174">
        <f>5*$B$31*$D131/100/$B$57*100</f>
        <v>6.8463659156256879E-2</v>
      </c>
      <c r="F131" s="174">
        <f>12*$B$32*$D131/100/$B$57*100</f>
        <v>1.3789156790519966E-2</v>
      </c>
    </row>
    <row r="132" spans="1:8" ht="15.75" customHeight="1" x14ac:dyDescent="0.2">
      <c r="A132" s="10" t="s">
        <v>310</v>
      </c>
      <c r="B132" s="10">
        <v>0.02</v>
      </c>
      <c r="C132" s="18">
        <f>$B132/100*$B$58</f>
        <v>1.7235072000000001E-2</v>
      </c>
      <c r="D132" s="18">
        <f t="shared" si="3"/>
        <v>9.8243740576448191E-2</v>
      </c>
      <c r="E132" s="174">
        <f>6*$B$31*$D132/100/$B$58*100</f>
        <v>8.2156390987508238E-2</v>
      </c>
      <c r="F132" s="174">
        <f>14*$B$32*$D132/100/$B$58*100</f>
        <v>1.6087349588939957E-2</v>
      </c>
    </row>
    <row r="133" spans="1:8" ht="15.75" customHeight="1" x14ac:dyDescent="0.2">
      <c r="A133" s="10"/>
      <c r="B133" s="10"/>
      <c r="C133" s="18"/>
      <c r="D133" s="18"/>
      <c r="E133" s="179"/>
      <c r="F133" s="179"/>
      <c r="H133" s="179"/>
    </row>
    <row r="134" spans="1:8" ht="15.75" customHeight="1" x14ac:dyDescent="0.2">
      <c r="A134" s="10"/>
      <c r="B134" s="10"/>
      <c r="C134" s="18"/>
      <c r="D134" s="18"/>
      <c r="E134" s="18"/>
    </row>
  </sheetData>
  <mergeCells count="11">
    <mergeCell ref="H12:I12"/>
    <mergeCell ref="J12:K12"/>
    <mergeCell ref="L12:M12"/>
    <mergeCell ref="N12:O12"/>
    <mergeCell ref="P12:Q12"/>
    <mergeCell ref="A92:C92"/>
    <mergeCell ref="A100:C100"/>
    <mergeCell ref="A108:C108"/>
    <mergeCell ref="D12:E12"/>
    <mergeCell ref="F12:G12"/>
    <mergeCell ref="B12:C12"/>
  </mergeCells>
  <conditionalFormatting sqref="C13:C20 D22:E28">
    <cfRule type="expression" dxfId="8" priority="9" stopIfTrue="1">
      <formula>#REF!&gt;7</formula>
    </cfRule>
  </conditionalFormatting>
  <conditionalFormatting sqref="D29:E29">
    <cfRule type="expression" dxfId="7" priority="8" stopIfTrue="1">
      <formula>#REF!&gt;7</formula>
    </cfRule>
  </conditionalFormatting>
  <conditionalFormatting sqref="E13">
    <cfRule type="expression" dxfId="6" priority="7" stopIfTrue="1">
      <formula>#REF!&gt;7</formula>
    </cfRule>
  </conditionalFormatting>
  <conditionalFormatting sqref="G13">
    <cfRule type="expression" dxfId="5" priority="6" stopIfTrue="1">
      <formula>#REF!&gt;7</formula>
    </cfRule>
  </conditionalFormatting>
  <conditionalFormatting sqref="I13">
    <cfRule type="expression" dxfId="4" priority="5" stopIfTrue="1">
      <formula>#REF!&gt;7</formula>
    </cfRule>
  </conditionalFormatting>
  <conditionalFormatting sqref="K13">
    <cfRule type="expression" dxfId="3" priority="4" stopIfTrue="1">
      <formula>#REF!&gt;7</formula>
    </cfRule>
  </conditionalFormatting>
  <conditionalFormatting sqref="M13">
    <cfRule type="expression" dxfId="2" priority="3" stopIfTrue="1">
      <formula>#REF!&gt;7</formula>
    </cfRule>
  </conditionalFormatting>
  <conditionalFormatting sqref="O13">
    <cfRule type="expression" dxfId="1" priority="2" stopIfTrue="1">
      <formula>#REF!&gt;7</formula>
    </cfRule>
  </conditionalFormatting>
  <conditionalFormatting sqref="Q13">
    <cfRule type="expression" dxfId="0" priority="1" stopIfTrue="1">
      <formula>#REF!&gt;7</formula>
    </cfRule>
  </conditionalFormatting>
  <pageMargins left="0.7" right="0.7" top="0.78740157499999996" bottom="0.78740157499999996" header="0.3" footer="0.3"/>
  <pageSetup paperSize="9" orientation="portrait" horizontalDpi="1200" verticalDpi="12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7</vt:i4>
      </vt:variant>
    </vt:vector>
  </HeadingPairs>
  <TitlesOfParts>
    <vt:vector size="7" baseType="lpstr">
      <vt:lpstr>an</vt:lpstr>
      <vt:lpstr>roh</vt:lpstr>
      <vt:lpstr>wf</vt:lpstr>
      <vt:lpstr>af</vt:lpstr>
      <vt:lpstr>waf</vt:lpstr>
      <vt:lpstr>Vb-R</vt:lpstr>
      <vt:lpstr>Grundtab</vt:lpstr>
    </vt:vector>
  </TitlesOfParts>
  <Company>Uni 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Juschka</dc:creator>
  <cp:lastModifiedBy>Winfried Juschka</cp:lastModifiedBy>
  <cp:lastPrinted>2008-07-14T13:40:12Z</cp:lastPrinted>
  <dcterms:created xsi:type="dcterms:W3CDTF">2007-12-21T13:42:54Z</dcterms:created>
  <dcterms:modified xsi:type="dcterms:W3CDTF">2022-12-05T08:16:29Z</dcterms:modified>
</cp:coreProperties>
</file>